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FILINGS\ID\2024 Cases\PAC-E-24-04 GRC\5-31-24 Application and Direct Testimony\working docs\3_Nikki L. Kobliha\"/>
    </mc:Choice>
  </mc:AlternateContent>
  <xr:revisionPtr revIDLastSave="0" documentId="13_ncr:1_{BF18553A-2351-4BD7-9E08-B4BE476FA5CF}" xr6:coauthVersionLast="47" xr6:coauthVersionMax="47" xr10:uidLastSave="{00000000-0000-0000-0000-000000000000}"/>
  <bookViews>
    <workbookView xWindow="28680" yWindow="-120" windowWidth="29040" windowHeight="15840" tabRatio="406" xr2:uid="{00000000-000D-0000-FFFF-FFFF00000000}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</sheet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Detail!$A$1:$O$36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Detail!$A$1:$O$65</definedName>
    <definedName name="_xlnm.Print_Area" localSheetId="0">Summary!$A$1:$K$20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3" l="1"/>
  <c r="I20" i="3"/>
  <c r="I18" i="3"/>
  <c r="I15" i="3"/>
  <c r="N61" i="3" l="1"/>
  <c r="J52" i="3"/>
  <c r="I49" i="3"/>
  <c r="I48" i="3"/>
  <c r="J47" i="3"/>
  <c r="J46" i="3"/>
  <c r="J45" i="3"/>
  <c r="J44" i="3"/>
  <c r="I47" i="3"/>
  <c r="I46" i="3"/>
  <c r="I45" i="3"/>
  <c r="I44" i="3"/>
  <c r="H47" i="3"/>
  <c r="H46" i="3"/>
  <c r="H45" i="3"/>
  <c r="H44" i="3"/>
  <c r="H35" i="3"/>
  <c r="K35" i="3" s="1"/>
  <c r="L35" i="3" s="1"/>
  <c r="H20" i="3"/>
  <c r="K20" i="3" s="1"/>
  <c r="H18" i="3"/>
  <c r="H15" i="3"/>
  <c r="H13" i="3"/>
  <c r="E35" i="3"/>
  <c r="D35" i="3"/>
  <c r="E20" i="3"/>
  <c r="D20" i="3"/>
  <c r="I19" i="3"/>
  <c r="E18" i="3"/>
  <c r="D18" i="3"/>
  <c r="F18" i="3" s="1"/>
  <c r="E15" i="3"/>
  <c r="D15" i="3"/>
  <c r="J13" i="3"/>
  <c r="J36" i="3" s="1"/>
  <c r="I13" i="3"/>
  <c r="H36" i="3" l="1"/>
  <c r="M35" i="3"/>
  <c r="N35" i="3" s="1"/>
  <c r="F35" i="3"/>
  <c r="L20" i="3"/>
  <c r="M20" i="3" s="1"/>
  <c r="N20" i="3" s="1"/>
  <c r="F20" i="3"/>
  <c r="K18" i="3"/>
  <c r="L18" i="3" s="1"/>
  <c r="M18" i="3" s="1"/>
  <c r="N18" i="3" s="1"/>
  <c r="K15" i="3"/>
  <c r="L15" i="3" s="1"/>
  <c r="M15" i="3"/>
  <c r="N15" i="3" s="1"/>
  <c r="F15" i="3"/>
  <c r="B36" i="3" l="1"/>
  <c r="I34" i="3" l="1"/>
  <c r="I33" i="3"/>
  <c r="E34" i="3" l="1"/>
  <c r="D34" i="3"/>
  <c r="K34" i="3"/>
  <c r="L34" i="3" s="1"/>
  <c r="F34" i="3" l="1"/>
  <c r="M34" i="3"/>
  <c r="N34" i="3" s="1"/>
  <c r="K33" i="3" l="1"/>
  <c r="L33" i="3" s="1"/>
  <c r="E33" i="3"/>
  <c r="D33" i="3"/>
  <c r="F33" i="3" l="1"/>
  <c r="M33" i="3"/>
  <c r="N33" i="3" s="1"/>
  <c r="I32" i="3" l="1"/>
  <c r="E32" i="3" l="1"/>
  <c r="D32" i="3"/>
  <c r="K32" i="3"/>
  <c r="F32" i="3" l="1"/>
  <c r="L32" i="3"/>
  <c r="M32" i="3" s="1"/>
  <c r="N32" i="3" s="1"/>
  <c r="I17" i="3" l="1"/>
  <c r="I31" i="3"/>
  <c r="K31" i="3" l="1"/>
  <c r="L31" i="3" s="1"/>
  <c r="E31" i="3"/>
  <c r="D31" i="3"/>
  <c r="E17" i="3"/>
  <c r="D17" i="3"/>
  <c r="F31" i="3" l="1"/>
  <c r="M31" i="3"/>
  <c r="N31" i="3" s="1"/>
  <c r="F17" i="3"/>
  <c r="K17" i="3"/>
  <c r="L17" i="3" s="1"/>
  <c r="M17" i="3" s="1"/>
  <c r="N17" i="3" s="1"/>
  <c r="I16" i="3" l="1"/>
  <c r="I30" i="3"/>
  <c r="K16" i="3" l="1"/>
  <c r="L16" i="3" s="1"/>
  <c r="E16" i="3"/>
  <c r="D16" i="3"/>
  <c r="M16" i="3" l="1"/>
  <c r="N16" i="3" s="1"/>
  <c r="F16" i="3"/>
  <c r="K30" i="3" l="1"/>
  <c r="L30" i="3" s="1"/>
  <c r="E30" i="3"/>
  <c r="D30" i="3"/>
  <c r="F30" i="3" l="1"/>
  <c r="M30" i="3"/>
  <c r="N30" i="3" s="1"/>
  <c r="I29" i="3" l="1"/>
  <c r="K29" i="3" l="1"/>
  <c r="L29" i="3" s="1"/>
  <c r="E29" i="3"/>
  <c r="D29" i="3"/>
  <c r="F29" i="3" l="1"/>
  <c r="M29" i="3"/>
  <c r="N29" i="3" s="1"/>
  <c r="D61" i="3" l="1"/>
  <c r="E61" i="3"/>
  <c r="I14" i="3" l="1"/>
  <c r="K14" i="3" l="1"/>
  <c r="L14" i="3" s="1"/>
  <c r="E14" i="3"/>
  <c r="D14" i="3"/>
  <c r="F14" i="3" l="1"/>
  <c r="M14" i="3"/>
  <c r="N14" i="3" s="1"/>
  <c r="E13" i="3" l="1"/>
  <c r="D13" i="3"/>
  <c r="K13" i="3"/>
  <c r="L13" i="3" l="1"/>
  <c r="M13" i="3" s="1"/>
  <c r="N13" i="3" s="1"/>
  <c r="F13" i="3"/>
  <c r="I28" i="3" l="1"/>
  <c r="N59" i="3" l="1"/>
  <c r="N62" i="3" s="1"/>
  <c r="E60" i="3"/>
  <c r="D60" i="3"/>
  <c r="E59" i="3"/>
  <c r="D59" i="3"/>
  <c r="G16" i="2" l="1"/>
  <c r="K28" i="3" l="1"/>
  <c r="L28" i="3" s="1"/>
  <c r="E28" i="3"/>
  <c r="D28" i="3"/>
  <c r="E19" i="3"/>
  <c r="D19" i="3"/>
  <c r="K19" i="3" l="1"/>
  <c r="M28" i="3"/>
  <c r="N28" i="3" s="1"/>
  <c r="F19" i="3"/>
  <c r="F28" i="3"/>
  <c r="L19" i="3" l="1"/>
  <c r="M19" i="3" s="1"/>
  <c r="N19" i="3" s="1"/>
  <c r="I27" i="3"/>
  <c r="I26" i="3" l="1"/>
  <c r="K26" i="3" s="1"/>
  <c r="L26" i="3" s="1"/>
  <c r="K27" i="3"/>
  <c r="L27" i="3" s="1"/>
  <c r="I23" i="3"/>
  <c r="K23" i="3" s="1"/>
  <c r="L23" i="3" s="1"/>
  <c r="D49" i="3"/>
  <c r="E49" i="3"/>
  <c r="D48" i="3"/>
  <c r="E48" i="3"/>
  <c r="D52" i="3"/>
  <c r="E52" i="3"/>
  <c r="H53" i="3"/>
  <c r="C13" i="2" s="1"/>
  <c r="I52" i="3"/>
  <c r="D47" i="3"/>
  <c r="E47" i="3"/>
  <c r="D46" i="3"/>
  <c r="E46" i="3"/>
  <c r="D45" i="3"/>
  <c r="E45" i="3"/>
  <c r="D44" i="3"/>
  <c r="E44" i="3"/>
  <c r="D38" i="3"/>
  <c r="E38" i="3"/>
  <c r="I38" i="3"/>
  <c r="K38" i="3" s="1"/>
  <c r="D27" i="3"/>
  <c r="E27" i="3"/>
  <c r="D26" i="3"/>
  <c r="E26" i="3"/>
  <c r="D25" i="3"/>
  <c r="E25" i="3"/>
  <c r="I25" i="3"/>
  <c r="K25" i="3" s="1"/>
  <c r="L25" i="3" s="1"/>
  <c r="D24" i="3"/>
  <c r="E24" i="3"/>
  <c r="I24" i="3"/>
  <c r="K24" i="3" s="1"/>
  <c r="L24" i="3" s="1"/>
  <c r="D23" i="3"/>
  <c r="E23" i="3"/>
  <c r="D22" i="3"/>
  <c r="E22" i="3"/>
  <c r="I22" i="3"/>
  <c r="D21" i="3"/>
  <c r="E21" i="3"/>
  <c r="I21" i="3"/>
  <c r="A4" i="3"/>
  <c r="A12" i="3"/>
  <c r="A13" i="3" s="1"/>
  <c r="A14" i="3" s="1"/>
  <c r="H39" i="3"/>
  <c r="J39" i="3"/>
  <c r="J41" i="3" s="1"/>
  <c r="A2" i="3"/>
  <c r="A1" i="3"/>
  <c r="A10" i="2"/>
  <c r="A11" i="2" s="1"/>
  <c r="K11" i="2" s="1"/>
  <c r="K9" i="2"/>
  <c r="O11" i="3"/>
  <c r="I36" i="3" l="1"/>
  <c r="A15" i="3"/>
  <c r="B39" i="3"/>
  <c r="H41" i="3"/>
  <c r="H50" i="3"/>
  <c r="C12" i="2" s="1"/>
  <c r="C14" i="2" s="1"/>
  <c r="J50" i="3"/>
  <c r="E12" i="2" s="1"/>
  <c r="K21" i="3"/>
  <c r="K36" i="3" s="1"/>
  <c r="F46" i="3"/>
  <c r="F47" i="3"/>
  <c r="F48" i="3"/>
  <c r="J53" i="3"/>
  <c r="E13" i="2" s="1"/>
  <c r="F38" i="3"/>
  <c r="F39" i="3" s="1"/>
  <c r="I53" i="3"/>
  <c r="D13" i="2" s="1"/>
  <c r="F49" i="3"/>
  <c r="I39" i="3"/>
  <c r="F44" i="3"/>
  <c r="I50" i="3"/>
  <c r="D12" i="2" s="1"/>
  <c r="F52" i="3"/>
  <c r="F45" i="3"/>
  <c r="K48" i="3"/>
  <c r="L48" i="3" s="1"/>
  <c r="K10" i="2"/>
  <c r="A12" i="2"/>
  <c r="F25" i="3"/>
  <c r="K49" i="3"/>
  <c r="L49" i="3" s="1"/>
  <c r="K22" i="3"/>
  <c r="L22" i="3" s="1"/>
  <c r="M22" i="3" s="1"/>
  <c r="N22" i="3" s="1"/>
  <c r="F21" i="3"/>
  <c r="F22" i="3"/>
  <c r="F23" i="3"/>
  <c r="M24" i="3"/>
  <c r="N24" i="3" s="1"/>
  <c r="F24" i="3"/>
  <c r="F26" i="3"/>
  <c r="F27" i="3"/>
  <c r="O12" i="3"/>
  <c r="K46" i="3"/>
  <c r="L46" i="3" s="1"/>
  <c r="K44" i="3"/>
  <c r="L44" i="3" s="1"/>
  <c r="K45" i="3"/>
  <c r="L45" i="3" s="1"/>
  <c r="K47" i="3"/>
  <c r="L47" i="3" s="1"/>
  <c r="K52" i="3"/>
  <c r="L52" i="3" s="1"/>
  <c r="M23" i="3"/>
  <c r="N23" i="3" s="1"/>
  <c r="M26" i="3"/>
  <c r="N26" i="3" s="1"/>
  <c r="M27" i="3"/>
  <c r="N27" i="3" s="1"/>
  <c r="M25" i="3"/>
  <c r="N25" i="3" s="1"/>
  <c r="L38" i="3"/>
  <c r="M38" i="3" s="1"/>
  <c r="N38" i="3" s="1"/>
  <c r="N39" i="3" s="1"/>
  <c r="M39" i="3" s="1"/>
  <c r="K39" i="3"/>
  <c r="F36" i="3" l="1"/>
  <c r="H55" i="3"/>
  <c r="A16" i="3"/>
  <c r="O15" i="3"/>
  <c r="I41" i="3"/>
  <c r="D10" i="2" s="1"/>
  <c r="B41" i="3"/>
  <c r="F41" i="3"/>
  <c r="K41" i="3"/>
  <c r="E14" i="2"/>
  <c r="L21" i="3"/>
  <c r="M21" i="3" s="1"/>
  <c r="N21" i="3" s="1"/>
  <c r="E10" i="2"/>
  <c r="B53" i="3"/>
  <c r="H13" i="2" s="1"/>
  <c r="M45" i="3"/>
  <c r="N45" i="3" s="1"/>
  <c r="J55" i="3"/>
  <c r="M48" i="3"/>
  <c r="N48" i="3" s="1"/>
  <c r="D14" i="2"/>
  <c r="F50" i="3"/>
  <c r="J12" i="2" s="1"/>
  <c r="I55" i="3"/>
  <c r="F53" i="3"/>
  <c r="J13" i="2" s="1"/>
  <c r="M44" i="3"/>
  <c r="N44" i="3" s="1"/>
  <c r="K50" i="3"/>
  <c r="F12" i="2" s="1"/>
  <c r="M47" i="3"/>
  <c r="N47" i="3" s="1"/>
  <c r="M46" i="3"/>
  <c r="N46" i="3" s="1"/>
  <c r="A13" i="2"/>
  <c r="K12" i="2"/>
  <c r="K53" i="3"/>
  <c r="F13" i="2" s="1"/>
  <c r="N36" i="3" l="1"/>
  <c r="N41" i="3" s="1"/>
  <c r="O16" i="3"/>
  <c r="A17" i="3"/>
  <c r="E17" i="2"/>
  <c r="J10" i="2"/>
  <c r="F10" i="2"/>
  <c r="J64" i="3"/>
  <c r="M52" i="3"/>
  <c r="N52" i="3" s="1"/>
  <c r="N53" i="3" s="1"/>
  <c r="D17" i="2"/>
  <c r="F55" i="3"/>
  <c r="I64" i="3"/>
  <c r="J14" i="2"/>
  <c r="F14" i="2"/>
  <c r="K55" i="3"/>
  <c r="A14" i="2"/>
  <c r="A15" i="2" s="1"/>
  <c r="K13" i="2"/>
  <c r="M49" i="3"/>
  <c r="C10" i="2"/>
  <c r="H64" i="3"/>
  <c r="O17" i="3" l="1"/>
  <c r="A18" i="3"/>
  <c r="C17" i="2"/>
  <c r="J17" i="2" s="1"/>
  <c r="M36" i="3"/>
  <c r="A16" i="2"/>
  <c r="K15" i="2"/>
  <c r="F17" i="2"/>
  <c r="K64" i="3"/>
  <c r="M53" i="3"/>
  <c r="G13" i="2"/>
  <c r="I13" i="2" s="1"/>
  <c r="K14" i="2"/>
  <c r="N49" i="3"/>
  <c r="N50" i="3" s="1"/>
  <c r="M50" i="3" s="1"/>
  <c r="B50" i="3"/>
  <c r="F64" i="3"/>
  <c r="G10" i="2"/>
  <c r="M41" i="3"/>
  <c r="H10" i="2"/>
  <c r="A19" i="3" l="1"/>
  <c r="O18" i="3"/>
  <c r="A17" i="2"/>
  <c r="A18" i="2" s="1"/>
  <c r="K16" i="2"/>
  <c r="I10" i="2"/>
  <c r="H12" i="2"/>
  <c r="B55" i="3"/>
  <c r="B64" i="3" s="1"/>
  <c r="G12" i="2"/>
  <c r="N55" i="3"/>
  <c r="N64" i="3" s="1"/>
  <c r="O19" i="3" l="1"/>
  <c r="A20" i="3"/>
  <c r="H14" i="2"/>
  <c r="H17" i="2" s="1"/>
  <c r="I12" i="2"/>
  <c r="G14" i="2"/>
  <c r="K17" i="2"/>
  <c r="K18" i="2"/>
  <c r="M55" i="3"/>
  <c r="M64" i="3"/>
  <c r="A21" i="3" l="1"/>
  <c r="O20" i="3"/>
  <c r="I14" i="2"/>
  <c r="G17" i="2"/>
  <c r="I17" i="2" s="1"/>
  <c r="A22" i="3" l="1"/>
  <c r="O21" i="3"/>
  <c r="O14" i="3"/>
  <c r="O13" i="3"/>
  <c r="A23" i="3" l="1"/>
  <c r="O23" i="3" s="1"/>
  <c r="O22" i="3"/>
  <c r="A24" i="3" l="1"/>
  <c r="O24" i="3" s="1"/>
  <c r="A25" i="3"/>
  <c r="A26" i="3" s="1"/>
  <c r="A27" i="3" s="1"/>
  <c r="O25" i="3" l="1"/>
  <c r="O26" i="3"/>
  <c r="A28" i="3"/>
  <c r="O27" i="3"/>
  <c r="A29" i="3" l="1"/>
  <c r="A30" i="3" s="1"/>
  <c r="A31" i="3" s="1"/>
  <c r="A32" i="3" s="1"/>
  <c r="A33" i="3" s="1"/>
  <c r="A34" i="3" s="1"/>
  <c r="A35" i="3" s="1"/>
  <c r="O28" i="3"/>
  <c r="A36" i="3" l="1"/>
  <c r="O35" i="3"/>
  <c r="O34" i="3"/>
  <c r="O33" i="3"/>
  <c r="O32" i="3"/>
  <c r="O31" i="3"/>
  <c r="O30" i="3"/>
  <c r="O29" i="3"/>
  <c r="O36" i="3" l="1"/>
  <c r="A37" i="3"/>
  <c r="A38" i="3" l="1"/>
  <c r="O37" i="3"/>
  <c r="A39" i="3" l="1"/>
  <c r="O38" i="3"/>
  <c r="A40" i="3" l="1"/>
  <c r="O39" i="3"/>
  <c r="A41" i="3" l="1"/>
  <c r="O40" i="3"/>
  <c r="A42" i="3" l="1"/>
  <c r="O41" i="3"/>
  <c r="A43" i="3" l="1"/>
  <c r="O42" i="3"/>
  <c r="A44" i="3" l="1"/>
  <c r="O43" i="3"/>
  <c r="O44" i="3" l="1"/>
  <c r="A45" i="3"/>
  <c r="O45" i="3" l="1"/>
  <c r="A46" i="3"/>
  <c r="O46" i="3" l="1"/>
  <c r="A47" i="3"/>
  <c r="A48" i="3" l="1"/>
  <c r="O47" i="3"/>
  <c r="A49" i="3" l="1"/>
  <c r="O48" i="3"/>
  <c r="A50" i="3" l="1"/>
  <c r="O49" i="3"/>
  <c r="A51" i="3" l="1"/>
  <c r="O50" i="3"/>
  <c r="A52" i="3" l="1"/>
  <c r="O51" i="3"/>
  <c r="O52" i="3" l="1"/>
  <c r="A53" i="3"/>
  <c r="A54" i="3" l="1"/>
  <c r="O53" i="3"/>
  <c r="A55" i="3" l="1"/>
  <c r="O54" i="3"/>
  <c r="A56" i="3" l="1"/>
  <c r="O55" i="3"/>
  <c r="O56" i="3" l="1"/>
  <c r="A57" i="3"/>
  <c r="O57" i="3" l="1"/>
  <c r="A58" i="3"/>
  <c r="A59" i="3" l="1"/>
  <c r="O58" i="3"/>
  <c r="A60" i="3" l="1"/>
  <c r="O59" i="3"/>
  <c r="A61" i="3" l="1"/>
  <c r="O60" i="3"/>
  <c r="A62" i="3" l="1"/>
  <c r="O61" i="3"/>
  <c r="O62" i="3" l="1"/>
  <c r="A63" i="3"/>
  <c r="O63" i="3" l="1"/>
  <c r="A64" i="3"/>
  <c r="A65" i="3" l="1"/>
  <c r="O65" i="3" s="1"/>
  <c r="O6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Fechner</author>
  </authors>
  <commentList>
    <comment ref="N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N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N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sharedStrings.xml><?xml version="1.0" encoding="utf-8"?>
<sst xmlns="http://schemas.openxmlformats.org/spreadsheetml/2006/main" count="130" uniqueCount="102">
  <si>
    <t>PACIFICORP</t>
  </si>
  <si>
    <t>Electric Operations</t>
  </si>
  <si>
    <t>Pro-Forma Cost of Long-Term Debt Summary</t>
  </si>
  <si>
    <t>12 months ended December 31, 2024</t>
  </si>
  <si>
    <t>AMOUNT</t>
  </si>
  <si>
    <t>(DISC)/PREM</t>
  </si>
  <si>
    <t>LINE</t>
  </si>
  <si>
    <t>5QE AVE</t>
  </si>
  <si>
    <t>ISSUANCE</t>
  </si>
  <si>
    <t>REDEMPTION</t>
  </si>
  <si>
    <t>NET PROCEEDS</t>
  </si>
  <si>
    <t>ANNUAL DEBT</t>
  </si>
  <si>
    <t>INTEREST</t>
  </si>
  <si>
    <t>ALL-IN</t>
  </si>
  <si>
    <t>ORIG</t>
  </si>
  <si>
    <t xml:space="preserve"> NO.</t>
  </si>
  <si>
    <t>DESCRIPTION</t>
  </si>
  <si>
    <t>OUTSTANDING</t>
  </si>
  <si>
    <t>EXPENSES</t>
  </si>
  <si>
    <t>TO COMPANY</t>
  </si>
  <si>
    <t>SERVICE COST</t>
  </si>
  <si>
    <t>RATE</t>
  </si>
  <si>
    <t>COST</t>
  </si>
  <si>
    <t>LIFE</t>
  </si>
  <si>
    <t>Total First Mortgage Bonds</t>
  </si>
  <si>
    <t>Subtotal - Pollution Control Revenue Bonds secured by FMBs</t>
  </si>
  <si>
    <t>Subtotal - Pollution Control Revenue Bonds</t>
  </si>
  <si>
    <t>Total Pollution Control Revenue Bonds</t>
  </si>
  <si>
    <t>Loss on Long Term Debt Reacquistions, without Refunding</t>
  </si>
  <si>
    <t>Total Cost of Long Term Debt</t>
  </si>
  <si>
    <t>Pro-Forma Cost of Long-Term Debt Detail</t>
  </si>
  <si>
    <t>NET PROCEEDS TO COMPANY</t>
  </si>
  <si>
    <t>PRINCIPAL AMOUNT</t>
  </si>
  <si>
    <t>TOTAL</t>
  </si>
  <si>
    <t>PER $100</t>
  </si>
  <si>
    <t/>
  </si>
  <si>
    <t>MATURITY</t>
  </si>
  <si>
    <t>ORIGINAL</t>
  </si>
  <si>
    <t>DOLLAR</t>
  </si>
  <si>
    <t>PRINCIPAL</t>
  </si>
  <si>
    <t>MONEY TO</t>
  </si>
  <si>
    <t>DATE</t>
  </si>
  <si>
    <t>ISSUE</t>
  </si>
  <si>
    <t>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</si>
  <si>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</si>
  <si>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</si>
  <si>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</si>
  <si>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</si>
  <si>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</si>
  <si>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</si>
  <si>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</si>
  <si>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</si>
  <si>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</si>
  <si>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</si>
  <si>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</si>
  <si>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</si>
  <si>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</si>
  <si>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First Mortgage Bonds</t>
  </si>
  <si>
    <t xml:space="preserve">  Series due Apr 2024</t>
  </si>
  <si>
    <t xml:space="preserve">  Series due Jul 2025</t>
  </si>
  <si>
    <t xml:space="preserve">  Series diue Feb 2029</t>
  </si>
  <si>
    <t xml:space="preserve">  Series due Jun 2029</t>
  </si>
  <si>
    <t xml:space="preserve">  Series due Sep 2030</t>
  </si>
  <si>
    <t xml:space="preserve">  Series diue Feb 2031</t>
  </si>
  <si>
    <t xml:space="preserve">  Series due Nov 2031</t>
  </si>
  <si>
    <t xml:space="preserve">  Series diue Feb 2034</t>
  </si>
  <si>
    <t xml:space="preserve">  Series due Aug 2034</t>
  </si>
  <si>
    <t xml:space="preserve">  Series due Jun 2035</t>
  </si>
  <si>
    <t xml:space="preserve">  Series due Aug 2036</t>
  </si>
  <si>
    <t xml:space="preserve">  Series due Apr 2037</t>
  </si>
  <si>
    <t xml:space="preserve">  Series due Oct 2037</t>
  </si>
  <si>
    <t xml:space="preserve">  Series due Jul 2038</t>
  </si>
  <si>
    <t xml:space="preserve">  Series due Jan 2039</t>
  </si>
  <si>
    <t xml:space="preserve">  Series due Feb 2042</t>
  </si>
  <si>
    <t xml:space="preserve">  Series due Jan 2049</t>
  </si>
  <si>
    <t xml:space="preserve">  Series due Feb 2050</t>
  </si>
  <si>
    <t xml:space="preserve">  Series due Mar 2051</t>
  </si>
  <si>
    <t xml:space="preserve">  Series due June 2052</t>
  </si>
  <si>
    <t xml:space="preserve">  Series due Dec 2053</t>
  </si>
  <si>
    <t xml:space="preserve">  Series due May 2054</t>
  </si>
  <si>
    <t xml:space="preserve">  Series diue Jan 2055</t>
  </si>
  <si>
    <t>Subtotal - Bullet FMBs</t>
  </si>
  <si>
    <t xml:space="preserve">  Series G due Jan 2026</t>
  </si>
  <si>
    <t>Subtotal - Series G MTNs</t>
  </si>
  <si>
    <t>Pollution Control Revenue Bonds</t>
  </si>
  <si>
    <t xml:space="preserve">  Converse 94 due Nov 2024</t>
  </si>
  <si>
    <t xml:space="preserve">  Emery 94 due Nov 2024</t>
  </si>
  <si>
    <t xml:space="preserve">  Lincoln 94 due Nov 2024</t>
  </si>
  <si>
    <t xml:space="preserve">  Sweetwater 94 due Nov 2024</t>
  </si>
  <si>
    <t xml:space="preserve">  Converse 95 due Nov 2025</t>
  </si>
  <si>
    <t xml:space="preserve">  Lincoln 95 due Nov 2025</t>
  </si>
  <si>
    <t>Subtotal - Secured PCRBs</t>
  </si>
  <si>
    <t xml:space="preserve">  Sweetwater 95 due Nov 2025</t>
  </si>
  <si>
    <t>Subtotal - Unsecured PCRBs</t>
  </si>
  <si>
    <t>Total PCRB Obligations</t>
  </si>
  <si>
    <t>REACQ</t>
  </si>
  <si>
    <t>ORG MAT</t>
  </si>
  <si>
    <t>8.375% Series A QUIDS</t>
  </si>
  <si>
    <t>8.55% Series B QUIDS</t>
  </si>
  <si>
    <t>Carbon '94 PCRB Series</t>
  </si>
  <si>
    <t>Long-Term Debt Reacquisition, without refunding amortization</t>
  </si>
  <si>
    <t>Total Long-Term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</si>
</sst>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_(* #,##0.0_);_(* \(#,##0.0\);_(* &quot;-&quot;??_);_(@_)"/>
    <numFmt numFmtId="170" formatCode="&quot;$&quot;#,##0.000_);[Red]\(&quot;$&quot;#,##0.000\)"/>
    <numFmt numFmtId="171" formatCode="[$-409]mmmm\ d\,\ yyyy;@"/>
    <numFmt numFmtId="172" formatCode="0.0000000%"/>
    <numFmt numFmtId="173" formatCode="&quot;$&quot;#,##0.0_);[Red]\(&quot;$&quot;#,##0.0\)"/>
  </numFmts>
  <fonts count="20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6" fontId="0" fillId="0" borderId="0" xfId="0"/>
    <xf numFmtId="6" fontId="3" fillId="0" borderId="0" xfId="0" applyFont="1"/>
    <xf numFmtId="6" fontId="3" fillId="0" borderId="1" xfId="0" applyFont="1" applyBorder="1"/>
    <xf numFmtId="6" fontId="2" fillId="0" borderId="0" xfId="0" applyFont="1"/>
    <xf numFmtId="6" fontId="0" fillId="0" borderId="1" xfId="0" applyBorder="1"/>
    <xf numFmtId="6" fontId="0" fillId="0" borderId="0" xfId="0" applyAlignment="1">
      <alignment horizontal="center"/>
    </xf>
    <xf numFmtId="6" fontId="0" fillId="0" borderId="2" xfId="0" applyBorder="1"/>
    <xf numFmtId="168" fontId="0" fillId="0" borderId="2" xfId="2" applyNumberFormat="1" applyFont="1" applyBorder="1"/>
    <xf numFmtId="6" fontId="9" fillId="0" borderId="0" xfId="0" applyFont="1"/>
    <xf numFmtId="6" fontId="9" fillId="0" borderId="0" xfId="0" applyFont="1" applyAlignment="1">
      <alignment horizontal="center"/>
    </xf>
    <xf numFmtId="6" fontId="12" fillId="0" borderId="0" xfId="0" applyFont="1" applyAlignment="1">
      <alignment horizontal="center"/>
    </xf>
    <xf numFmtId="6" fontId="13" fillId="0" borderId="0" xfId="0" applyFont="1"/>
    <xf numFmtId="5" fontId="9" fillId="0" borderId="0" xfId="0" applyNumberFormat="1" applyFont="1"/>
    <xf numFmtId="5" fontId="11" fillId="0" borderId="0" xfId="0" applyNumberFormat="1" applyFont="1" applyAlignment="1">
      <alignment horizontal="right"/>
    </xf>
    <xf numFmtId="6" fontId="9" fillId="0" borderId="1" xfId="0" applyFont="1" applyBorder="1"/>
    <xf numFmtId="168" fontId="3" fillId="0" borderId="0" xfId="2" applyNumberFormat="1" applyFont="1" applyFill="1" applyBorder="1" applyAlignment="1" applyProtection="1">
      <alignment horizontal="center"/>
      <protection locked="0"/>
    </xf>
    <xf numFmtId="6" fontId="10" fillId="0" borderId="0" xfId="0" applyFont="1"/>
    <xf numFmtId="6" fontId="12" fillId="0" borderId="0" xfId="0" applyFont="1"/>
    <xf numFmtId="166" fontId="9" fillId="0" borderId="0" xfId="0" applyNumberFormat="1" applyFont="1" applyAlignment="1">
      <alignment horizontal="center"/>
    </xf>
    <xf numFmtId="6" fontId="13" fillId="0" borderId="1" xfId="0" applyFont="1" applyBorder="1"/>
    <xf numFmtId="5" fontId="9" fillId="0" borderId="1" xfId="0" applyNumberFormat="1" applyFont="1" applyBorder="1"/>
    <xf numFmtId="6" fontId="14" fillId="0" borderId="0" xfId="0" applyFont="1" applyAlignment="1">
      <alignment horizontal="center"/>
    </xf>
    <xf numFmtId="6" fontId="15" fillId="0" borderId="0" xfId="0" applyFont="1"/>
    <xf numFmtId="6" fontId="7" fillId="0" borderId="0" xfId="0" applyFont="1"/>
    <xf numFmtId="168" fontId="7" fillId="0" borderId="0" xfId="2" applyNumberFormat="1" applyFont="1" applyBorder="1"/>
    <xf numFmtId="167" fontId="13" fillId="0" borderId="4" xfId="0" applyNumberFormat="1" applyFont="1" applyBorder="1" applyAlignment="1" applyProtection="1">
      <alignment horizontal="center"/>
      <protection locked="0"/>
    </xf>
    <xf numFmtId="167" fontId="13" fillId="0" borderId="5" xfId="0" applyNumberFormat="1" applyFont="1" applyBorder="1" applyAlignment="1" applyProtection="1">
      <alignment horizontal="center"/>
      <protection locked="0"/>
    </xf>
    <xf numFmtId="168" fontId="0" fillId="0" borderId="0" xfId="0" applyNumberFormat="1"/>
    <xf numFmtId="168" fontId="0" fillId="0" borderId="0" xfId="2" applyNumberFormat="1" applyFont="1" applyBorder="1"/>
    <xf numFmtId="167" fontId="13" fillId="0" borderId="6" xfId="0" applyNumberFormat="1" applyFont="1" applyBorder="1" applyAlignment="1" applyProtection="1">
      <alignment horizontal="center"/>
      <protection locked="0"/>
    </xf>
    <xf numFmtId="168" fontId="0" fillId="0" borderId="1" xfId="2" applyNumberFormat="1" applyFont="1" applyBorder="1"/>
    <xf numFmtId="167" fontId="13" fillId="0" borderId="7" xfId="0" applyNumberFormat="1" applyFont="1" applyBorder="1" applyAlignment="1" applyProtection="1">
      <alignment horizontal="center"/>
      <protection locked="0"/>
    </xf>
    <xf numFmtId="168" fontId="7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169" fontId="7" fillId="0" borderId="0" xfId="1" applyNumberFormat="1" applyFont="1" applyBorder="1"/>
    <xf numFmtId="169" fontId="0" fillId="0" borderId="0" xfId="0" applyNumberFormat="1"/>
    <xf numFmtId="169" fontId="0" fillId="0" borderId="0" xfId="1" applyNumberFormat="1" applyFont="1" applyBorder="1" applyAlignment="1">
      <alignment horizontal="center"/>
    </xf>
    <xf numFmtId="169" fontId="0" fillId="0" borderId="2" xfId="1" applyNumberFormat="1" applyFont="1" applyBorder="1" applyAlignment="1" applyProtection="1">
      <alignment horizontal="center"/>
    </xf>
    <xf numFmtId="6" fontId="16" fillId="0" borderId="0" xfId="0" applyFont="1" applyAlignment="1">
      <alignment horizontal="center"/>
    </xf>
    <xf numFmtId="6" fontId="16" fillId="0" borderId="0" xfId="0" applyFont="1"/>
    <xf numFmtId="6" fontId="15" fillId="0" borderId="4" xfId="0" applyFont="1" applyBorder="1"/>
    <xf numFmtId="6" fontId="14" fillId="0" borderId="0" xfId="0" applyFont="1"/>
    <xf numFmtId="168" fontId="14" fillId="0" borderId="0" xfId="2" applyNumberFormat="1" applyFont="1" applyBorder="1"/>
    <xf numFmtId="6" fontId="15" fillId="0" borderId="0" xfId="0" applyFont="1" applyAlignment="1">
      <alignment horizontal="center"/>
    </xf>
    <xf numFmtId="6" fontId="15" fillId="0" borderId="5" xfId="0" applyFont="1" applyBorder="1"/>
    <xf numFmtId="164" fontId="17" fillId="0" borderId="0" xfId="0" applyNumberFormat="1" applyFont="1" applyAlignment="1" applyProtection="1">
      <alignment horizontal="center"/>
      <protection locked="0"/>
    </xf>
    <xf numFmtId="164" fontId="17" fillId="0" borderId="0" xfId="0" applyNumberFormat="1" applyFont="1" applyProtection="1">
      <protection locked="0"/>
    </xf>
    <xf numFmtId="6" fontId="14" fillId="0" borderId="4" xfId="0" applyFont="1" applyBorder="1" applyAlignment="1">
      <alignment horizontal="center"/>
    </xf>
    <xf numFmtId="6" fontId="14" fillId="0" borderId="5" xfId="0" applyFont="1" applyBorder="1" applyAlignment="1">
      <alignment horizontal="center"/>
    </xf>
    <xf numFmtId="6" fontId="14" fillId="0" borderId="2" xfId="0" applyFont="1" applyBorder="1" applyAlignment="1">
      <alignment horizontal="center"/>
    </xf>
    <xf numFmtId="6" fontId="14" fillId="0" borderId="9" xfId="0" applyFont="1" applyBorder="1" applyAlignment="1">
      <alignment horizontal="center"/>
    </xf>
    <xf numFmtId="6" fontId="14" fillId="0" borderId="6" xfId="0" applyFont="1" applyBorder="1" applyAlignment="1">
      <alignment horizontal="center"/>
    </xf>
    <xf numFmtId="6" fontId="3" fillId="0" borderId="0" xfId="0" quotePrefix="1" applyFont="1"/>
    <xf numFmtId="6" fontId="14" fillId="0" borderId="5" xfId="0" applyFont="1" applyBorder="1"/>
    <xf numFmtId="6" fontId="14" fillId="0" borderId="1" xfId="0" applyFont="1" applyBorder="1"/>
    <xf numFmtId="6" fontId="9" fillId="0" borderId="3" xfId="0" quotePrefix="1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70" fontId="9" fillId="0" borderId="0" xfId="0" applyNumberFormat="1" applyFont="1"/>
    <xf numFmtId="168" fontId="9" fillId="0" borderId="0" xfId="0" applyNumberFormat="1" applyFont="1"/>
    <xf numFmtId="168" fontId="10" fillId="0" borderId="0" xfId="2" applyNumberFormat="1" applyFont="1" applyFill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5" fontId="10" fillId="0" borderId="0" xfId="0" applyNumberFormat="1" applyFont="1"/>
    <xf numFmtId="168" fontId="10" fillId="0" borderId="0" xfId="2" applyNumberFormat="1" applyFont="1" applyFill="1" applyBorder="1"/>
    <xf numFmtId="5" fontId="13" fillId="0" borderId="0" xfId="0" applyNumberFormat="1" applyFont="1" applyProtection="1">
      <protection locked="0"/>
    </xf>
    <xf numFmtId="6" fontId="4" fillId="0" borderId="0" xfId="0" applyFont="1" applyProtection="1"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8" fontId="10" fillId="0" borderId="0" xfId="2" applyNumberFormat="1" applyFont="1" applyFill="1" applyBorder="1" applyAlignment="1" applyProtection="1">
      <alignment horizontal="center"/>
    </xf>
    <xf numFmtId="6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/>
    <xf numFmtId="6" fontId="9" fillId="0" borderId="13" xfId="0" applyFont="1" applyBorder="1" applyAlignment="1">
      <alignment horizontal="center"/>
    </xf>
    <xf numFmtId="167" fontId="13" fillId="0" borderId="5" xfId="0" applyNumberFormat="1" applyFont="1" applyBorder="1" applyProtection="1">
      <protection locked="0"/>
    </xf>
    <xf numFmtId="167" fontId="13" fillId="0" borderId="7" xfId="0" applyNumberFormat="1" applyFont="1" applyBorder="1" applyProtection="1">
      <protection locked="0"/>
    </xf>
    <xf numFmtId="172" fontId="7" fillId="0" borderId="0" xfId="0" applyNumberFormat="1" applyFont="1"/>
    <xf numFmtId="173" fontId="0" fillId="0" borderId="0" xfId="0" applyNumberFormat="1" applyAlignment="1">
      <alignment horizontal="center"/>
    </xf>
    <xf numFmtId="6" fontId="9" fillId="0" borderId="14" xfId="0" applyFont="1" applyBorder="1" applyAlignment="1">
      <alignment horizontal="right"/>
    </xf>
    <xf numFmtId="173" fontId="9" fillId="0" borderId="0" xfId="0" applyNumberFormat="1" applyFont="1"/>
    <xf numFmtId="8" fontId="9" fillId="0" borderId="0" xfId="0" applyNumberFormat="1" applyFont="1"/>
    <xf numFmtId="8" fontId="3" fillId="0" borderId="0" xfId="0" applyNumberFormat="1" applyFont="1"/>
    <xf numFmtId="6" fontId="14" fillId="0" borderId="0" xfId="0" quotePrefix="1" applyFont="1" applyAlignment="1">
      <alignment horizontal="center"/>
    </xf>
    <xf numFmtId="6" fontId="8" fillId="2" borderId="8" xfId="0" applyFont="1" applyFill="1" applyBorder="1" applyAlignment="1">
      <alignment horizontal="center"/>
    </xf>
    <xf numFmtId="6" fontId="8" fillId="2" borderId="10" xfId="0" applyFont="1" applyFill="1" applyBorder="1" applyAlignment="1">
      <alignment horizontal="center"/>
    </xf>
    <xf numFmtId="6" fontId="8" fillId="2" borderId="11" xfId="0" applyFont="1" applyFill="1" applyBorder="1" applyAlignment="1">
      <alignment horizontal="center"/>
    </xf>
    <xf numFmtId="6" fontId="8" fillId="2" borderId="4" xfId="0" applyFont="1" applyFill="1" applyBorder="1" applyAlignment="1">
      <alignment horizontal="center"/>
    </xf>
    <xf numFmtId="6" fontId="8" fillId="2" borderId="0" xfId="0" applyFont="1" applyFill="1" applyAlignment="1">
      <alignment horizontal="center"/>
    </xf>
    <xf numFmtId="6" fontId="8" fillId="2" borderId="5" xfId="0" applyFont="1" applyFill="1" applyBorder="1" applyAlignment="1">
      <alignment horizontal="center"/>
    </xf>
    <xf numFmtId="171" fontId="8" fillId="2" borderId="4" xfId="0" quotePrefix="1" applyNumberFormat="1" applyFont="1" applyFill="1" applyBorder="1" applyAlignment="1" applyProtection="1">
      <alignment horizontal="center"/>
      <protection locked="0"/>
    </xf>
    <xf numFmtId="171" fontId="8" fillId="2" borderId="0" xfId="0" applyNumberFormat="1" applyFont="1" applyFill="1" applyAlignment="1" applyProtection="1">
      <alignment horizontal="center"/>
      <protection locked="0"/>
    </xf>
    <xf numFmtId="171" fontId="8" fillId="2" borderId="5" xfId="0" applyNumberFormat="1" applyFont="1" applyFill="1" applyBorder="1" applyAlignment="1" applyProtection="1">
      <alignment horizontal="center"/>
      <protection locked="0"/>
    </xf>
    <xf numFmtId="6" fontId="14" fillId="0" borderId="12" xfId="0" applyFont="1" applyBorder="1" applyAlignment="1">
      <alignment horizontal="center"/>
    </xf>
    <xf numFmtId="171" fontId="8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 macro="" textlink="" fLocksText="0">
      <xdr:nvSpPr>
        <xdr:cNvPr id="2059" name="Line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2">
    <pageSetUpPr fitToPage="1"/>
  </sheetPr>
  <dimension ref="A1:Q23"/>
  <sheetViews>
    <sheetView tabSelected="1" defaultGridColor="0" view="pageBreakPreview" colorId="22" zoomScale="60" zoomScaleNormal="85" workbookViewId="0">
      <selection activeCell="I17" sqref="I17"/>
    </sheetView>
  </sheetViews>
  <sheetFormatPr defaultColWidth="16.7109375" defaultRowHeight="12.75"/>
  <cols>
    <col min="1" max="1" width="5.5703125" customWidth="1"/>
    <col min="2" max="2" width="50" bestFit="1" customWidth="1"/>
    <col min="3" max="3" width="15.5703125" bestFit="1" customWidth="1"/>
    <col min="4" max="4" width="15.28515625" bestFit="1" customWidth="1"/>
    <col min="5" max="5" width="13.28515625" bestFit="1" customWidth="1"/>
    <col min="6" max="6" width="16.140625" bestFit="1" customWidth="1"/>
    <col min="7" max="7" width="16.5703125" bestFit="1" customWidth="1"/>
    <col min="8" max="8" width="10.5703125" style="5" bestFit="1" customWidth="1"/>
    <col min="9" max="9" width="8.140625" customWidth="1"/>
    <col min="10" max="10" width="6" bestFit="1" customWidth="1"/>
    <col min="11" max="11" width="5.5703125" bestFit="1" customWidth="1"/>
    <col min="14" max="15" width="7.140625" bestFit="1" customWidth="1"/>
    <col min="163" max="163" width="30.7109375" customWidth="1"/>
  </cols>
  <sheetData>
    <row r="1" spans="1:15" s="8" customFormat="1" ht="15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5" s="8" customFormat="1" ht="15.7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5" s="8" customFormat="1" ht="15.7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5" s="8" customFormat="1" ht="15.75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5" s="22" customFormat="1" ht="11.25">
      <c r="A5" s="42"/>
      <c r="B5" s="43"/>
      <c r="C5" s="44"/>
      <c r="H5" s="45"/>
      <c r="K5" s="46"/>
    </row>
    <row r="6" spans="1:15" s="22" customFormat="1" ht="11.25">
      <c r="A6" s="42"/>
      <c r="C6" s="21" t="s">
        <v>4</v>
      </c>
      <c r="D6" s="83" t="s">
        <v>5</v>
      </c>
      <c r="E6" s="21"/>
      <c r="F6" s="21"/>
      <c r="G6" s="21"/>
      <c r="H6" s="47"/>
      <c r="J6" s="48"/>
      <c r="K6" s="46"/>
    </row>
    <row r="7" spans="1:15" s="22" customFormat="1" ht="11.25">
      <c r="A7" s="49" t="s">
        <v>6</v>
      </c>
      <c r="C7" s="83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50" t="s">
        <v>6</v>
      </c>
    </row>
    <row r="8" spans="1:15" s="22" customFormat="1" ht="11.25">
      <c r="A8" s="53" t="s">
        <v>15</v>
      </c>
      <c r="B8" s="51" t="s">
        <v>16</v>
      </c>
      <c r="C8" s="51" t="s">
        <v>17</v>
      </c>
      <c r="D8" s="51" t="s">
        <v>18</v>
      </c>
      <c r="E8" s="51" t="s">
        <v>18</v>
      </c>
      <c r="F8" s="51" t="s">
        <v>19</v>
      </c>
      <c r="G8" s="51" t="s">
        <v>20</v>
      </c>
      <c r="H8" s="51" t="s">
        <v>21</v>
      </c>
      <c r="I8" s="51" t="s">
        <v>22</v>
      </c>
      <c r="J8" s="51" t="s">
        <v>23</v>
      </c>
      <c r="K8" s="52" t="s">
        <v>15</v>
      </c>
    </row>
    <row r="9" spans="1:15">
      <c r="A9" s="25">
        <v>1</v>
      </c>
      <c r="K9" s="26">
        <f>A9</f>
        <v>1</v>
      </c>
    </row>
    <row r="10" spans="1:15" s="23" customFormat="1">
      <c r="A10" s="25">
        <f>A9+1</f>
        <v>2</v>
      </c>
      <c r="B10" s="3" t="s">
        <v>24</v>
      </c>
      <c r="C10" s="23">
        <f>Detail!H41</f>
        <v>13060000000</v>
      </c>
      <c r="D10" s="23">
        <f>Detail!I41</f>
        <v>-148383147.47400004</v>
      </c>
      <c r="E10" s="23">
        <f>Detail!J41</f>
        <v>-2073225.0079999999</v>
      </c>
      <c r="F10" s="23">
        <f>Detail!K41</f>
        <v>12909543627.518002</v>
      </c>
      <c r="G10" s="23">
        <f>Detail!N41</f>
        <v>662768300</v>
      </c>
      <c r="H10" s="32">
        <f>Detail!B41</f>
        <v>4.9869448698315465E-2</v>
      </c>
      <c r="I10" s="24">
        <f>G10/C10</f>
        <v>5.0747955589586523E-2</v>
      </c>
      <c r="J10" s="36">
        <f>Detail!F41</f>
        <v>25.527918155521522</v>
      </c>
      <c r="K10" s="26">
        <f t="shared" ref="K10:K18" si="0">A10</f>
        <v>2</v>
      </c>
      <c r="N10" s="32"/>
      <c r="O10" s="24"/>
    </row>
    <row r="11" spans="1:15">
      <c r="A11" s="25">
        <f t="shared" ref="A11:A17" si="1">A10+1</f>
        <v>3</v>
      </c>
      <c r="B11" s="1"/>
      <c r="H11" s="33"/>
      <c r="I11" s="27"/>
      <c r="J11" s="37"/>
      <c r="K11" s="26">
        <f t="shared" si="0"/>
        <v>3</v>
      </c>
      <c r="N11" s="33"/>
      <c r="O11" s="27"/>
    </row>
    <row r="12" spans="1:15">
      <c r="A12" s="25">
        <f t="shared" si="1"/>
        <v>4</v>
      </c>
      <c r="B12" s="1" t="s">
        <v>25</v>
      </c>
      <c r="C12">
        <f>Detail!H50</f>
        <v>160460000</v>
      </c>
      <c r="D12">
        <f>Detail!I50</f>
        <v>-4070193.2499999995</v>
      </c>
      <c r="E12">
        <f>Detail!J50</f>
        <v>-1745495.2000000002</v>
      </c>
      <c r="F12">
        <f>Detail!K50</f>
        <v>154644311.55000001</v>
      </c>
      <c r="G12">
        <f>Detail!N50</f>
        <v>8428482.1999999993</v>
      </c>
      <c r="H12" s="33">
        <f>Detail!B50</f>
        <v>5.0119240008917001E-2</v>
      </c>
      <c r="I12" s="28">
        <f>G12/C12</f>
        <v>5.2526998628941786E-2</v>
      </c>
      <c r="J12" s="38">
        <f>Detail!F50</f>
        <v>29.955555555555556</v>
      </c>
      <c r="K12" s="26">
        <f t="shared" si="0"/>
        <v>4</v>
      </c>
      <c r="N12" s="33"/>
      <c r="O12" s="28"/>
    </row>
    <row r="13" spans="1:15">
      <c r="A13" s="25">
        <f t="shared" si="1"/>
        <v>5</v>
      </c>
      <c r="B13" s="1" t="s">
        <v>26</v>
      </c>
      <c r="C13" s="6">
        <f>Detail!H53</f>
        <v>24400000</v>
      </c>
      <c r="D13" s="6">
        <f>Detail!I53</f>
        <v>-224999.94999999998</v>
      </c>
      <c r="E13" s="6">
        <f>Detail!J53</f>
        <v>-428469.14</v>
      </c>
      <c r="F13" s="6">
        <f>Detail!K53</f>
        <v>23746530.91</v>
      </c>
      <c r="G13" s="6">
        <f>Detail!N53</f>
        <v>1280024</v>
      </c>
      <c r="H13" s="34">
        <f>Detail!B53</f>
        <v>5.068076853066697E-2</v>
      </c>
      <c r="I13" s="7">
        <f>G13/C13</f>
        <v>5.246E-2</v>
      </c>
      <c r="J13" s="39">
        <f>Detail!F53</f>
        <v>29.880555555555556</v>
      </c>
      <c r="K13" s="26">
        <f t="shared" si="0"/>
        <v>5</v>
      </c>
      <c r="N13" s="33"/>
      <c r="O13" s="28"/>
    </row>
    <row r="14" spans="1:15" s="23" customFormat="1">
      <c r="A14" s="25">
        <f t="shared" si="1"/>
        <v>6</v>
      </c>
      <c r="B14" s="3" t="s">
        <v>27</v>
      </c>
      <c r="C14" s="23">
        <f>SUM(C12:C13)</f>
        <v>184860000</v>
      </c>
      <c r="D14" s="23">
        <f>SUM(D12:D13)</f>
        <v>-4295193.1999999993</v>
      </c>
      <c r="E14" s="23">
        <f>SUM(E12:E13)</f>
        <v>-2173964.3400000003</v>
      </c>
      <c r="F14" s="23">
        <f>SUM(F12:F13)</f>
        <v>178390842.46000001</v>
      </c>
      <c r="G14" s="23">
        <f>SUM(G12:G13)</f>
        <v>9708506.1999999993</v>
      </c>
      <c r="H14" s="32">
        <f>SUMPRODUCT(H12:H13,$C12:$C13)/$C14</f>
        <v>5.0193357156654204E-2</v>
      </c>
      <c r="I14" s="24">
        <f>G14/C14</f>
        <v>5.2518155360813584E-2</v>
      </c>
      <c r="J14" s="36">
        <f>SUMPRODUCT(J12:J13,$C12:$C13)/$C14</f>
        <v>29.945656172238451</v>
      </c>
      <c r="K14" s="26">
        <f t="shared" si="0"/>
        <v>6</v>
      </c>
      <c r="N14" s="32"/>
      <c r="O14" s="24"/>
    </row>
    <row r="15" spans="1:15" s="23" customFormat="1">
      <c r="A15" s="25">
        <f t="shared" si="1"/>
        <v>7</v>
      </c>
      <c r="B15" s="3"/>
      <c r="H15" s="32"/>
      <c r="I15" s="24"/>
      <c r="J15" s="36"/>
      <c r="K15" s="26">
        <f t="shared" si="0"/>
        <v>7</v>
      </c>
      <c r="N15" s="32"/>
      <c r="O15" s="24"/>
    </row>
    <row r="16" spans="1:15" s="23" customFormat="1">
      <c r="A16" s="25">
        <f t="shared" si="1"/>
        <v>8</v>
      </c>
      <c r="B16" s="1" t="s">
        <v>28</v>
      </c>
      <c r="C16" s="6"/>
      <c r="D16" s="6"/>
      <c r="E16" s="6"/>
      <c r="F16" s="6"/>
      <c r="G16" s="6">
        <f>Detail!N62</f>
        <v>202494.99600000001</v>
      </c>
      <c r="H16" s="34"/>
      <c r="I16" s="7"/>
      <c r="J16" s="39"/>
      <c r="K16" s="26">
        <f t="shared" si="0"/>
        <v>8</v>
      </c>
      <c r="N16" s="33"/>
      <c r="O16" s="28"/>
    </row>
    <row r="17" spans="1:17" s="23" customFormat="1">
      <c r="A17" s="25">
        <f t="shared" si="1"/>
        <v>9</v>
      </c>
      <c r="B17" s="3" t="s">
        <v>29</v>
      </c>
      <c r="C17" s="23">
        <f>C10+C14</f>
        <v>13244860000</v>
      </c>
      <c r="D17" s="23">
        <f t="shared" ref="D17:F17" si="2">D10+D14</f>
        <v>-152678340.67400002</v>
      </c>
      <c r="E17" s="23">
        <f t="shared" si="2"/>
        <v>-4247189.3480000002</v>
      </c>
      <c r="F17" s="23">
        <f t="shared" si="2"/>
        <v>13087934469.978001</v>
      </c>
      <c r="G17" s="23">
        <f>G10+G14+G16</f>
        <v>672679301.1960001</v>
      </c>
      <c r="H17" s="32">
        <f>(H10*C10+H14*C14)/C17</f>
        <v>4.9873969525082114E-2</v>
      </c>
      <c r="I17" s="24">
        <f>G17/C17</f>
        <v>5.0787951038818085E-2</v>
      </c>
      <c r="J17" s="36">
        <f>(J10*C10+J14*C14)/C17</f>
        <v>25.58957702166056</v>
      </c>
      <c r="K17" s="26">
        <f t="shared" si="0"/>
        <v>9</v>
      </c>
      <c r="N17" s="32"/>
      <c r="O17" s="24"/>
      <c r="Q17" s="77"/>
    </row>
    <row r="18" spans="1:17">
      <c r="A18" s="29">
        <f>A17+1</f>
        <v>10</v>
      </c>
      <c r="B18" s="2"/>
      <c r="C18" s="4"/>
      <c r="D18" s="4"/>
      <c r="E18" s="4"/>
      <c r="F18" s="4"/>
      <c r="G18" s="4"/>
      <c r="H18" s="35"/>
      <c r="I18" s="4"/>
      <c r="J18" s="30"/>
      <c r="K18" s="31">
        <f t="shared" si="0"/>
        <v>10</v>
      </c>
    </row>
    <row r="19" spans="1:17">
      <c r="B19" s="1"/>
    </row>
    <row r="23" spans="1:17">
      <c r="H23" s="78"/>
    </row>
  </sheetData>
  <mergeCells count="4">
    <mergeCell ref="A1:K1"/>
    <mergeCell ref="A2:K2"/>
    <mergeCell ref="A3:K3"/>
    <mergeCell ref="A4:K4"/>
  </mergeCells>
  <phoneticPr fontId="5" type="noConversion"/>
  <printOptions horizontalCentered="1"/>
  <pageMargins left="0.5" right="0.5" top="0.7" bottom="0.55000000000000004" header="0.5" footer="0.5"/>
  <pageSetup scale="78" orientation="landscape" r:id="rId1"/>
  <headerFooter alignWithMargins="0"/>
  <ignoredErrors>
    <ignoredError sqref="I14" formula="1"/>
    <ignoredError sqref="A10:A18 K9:K19 B4:J4 K4:XFD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3">
    <pageSetUpPr fitToPage="1"/>
  </sheetPr>
  <dimension ref="A1:Q401"/>
  <sheetViews>
    <sheetView tabSelected="1" defaultGridColor="0" view="pageBreakPreview" colorId="22" zoomScale="60" zoomScaleNormal="115" workbookViewId="0">
      <selection activeCell="I17" sqref="I17"/>
    </sheetView>
  </sheetViews>
  <sheetFormatPr defaultColWidth="9.7109375" defaultRowHeight="12.75"/>
  <cols>
    <col min="1" max="1" width="5.5703125" style="9" customWidth="1"/>
    <col min="2" max="2" width="10.28515625" style="9" bestFit="1" customWidth="1"/>
    <col min="3" max="3" width="32.42578125" style="8" bestFit="1" customWidth="1"/>
    <col min="4" max="4" width="10.5703125" style="9" bestFit="1" customWidth="1"/>
    <col min="5" max="5" width="10.85546875" style="9" bestFit="1" customWidth="1"/>
    <col min="6" max="6" width="8.140625" style="9" bestFit="1" customWidth="1"/>
    <col min="7" max="7" width="14.140625" style="8" bestFit="1" customWidth="1"/>
    <col min="8" max="8" width="14.85546875" style="8" customWidth="1"/>
    <col min="9" max="9" width="13.28515625" style="8" bestFit="1" customWidth="1"/>
    <col min="10" max="10" width="14.7109375" style="8" bestFit="1" customWidth="1"/>
    <col min="11" max="11" width="16.5703125" style="8" customWidth="1"/>
    <col min="12" max="12" width="11.28515625" style="8" customWidth="1"/>
    <col min="13" max="13" width="11" style="8" bestFit="1" customWidth="1"/>
    <col min="14" max="14" width="14.5703125" style="8" bestFit="1" customWidth="1"/>
    <col min="15" max="15" width="5.42578125" style="8" bestFit="1" customWidth="1"/>
    <col min="16" max="16" width="12.28515625" style="8" bestFit="1" customWidth="1"/>
    <col min="17" max="17" width="7.85546875" style="8" bestFit="1" customWidth="1"/>
    <col min="18" max="18" width="9.7109375" style="8"/>
    <col min="19" max="19" width="15.28515625" style="8" bestFit="1" customWidth="1"/>
    <col min="20" max="20" width="8" style="8" bestFit="1" customWidth="1"/>
    <col min="21" max="16384" width="9.7109375" style="8"/>
  </cols>
  <sheetData>
    <row r="1" spans="1:15" ht="15.75" customHeight="1">
      <c r="A1" s="84" t="str">
        <f>Summary!A1</f>
        <v>PACIFICORP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ht="15.75" customHeight="1">
      <c r="A2" s="87" t="str">
        <f>Summary!A2</f>
        <v>Electric Operations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>
      <c r="A4" s="94" t="str">
        <f>Summary!A4</f>
        <v>12 months ended December 31, 2024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s="22" customFormat="1" ht="11.25">
      <c r="A5" s="49"/>
      <c r="B5" s="40"/>
      <c r="C5" s="41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55"/>
    </row>
    <row r="6" spans="1:15">
      <c r="A6" s="49"/>
      <c r="B6" s="21"/>
      <c r="C6" s="43"/>
      <c r="D6" s="21"/>
      <c r="E6" s="21"/>
      <c r="F6" s="21"/>
      <c r="G6" s="56"/>
      <c r="H6" s="56"/>
      <c r="I6" s="43"/>
      <c r="J6" s="43"/>
      <c r="K6" s="93" t="s">
        <v>31</v>
      </c>
      <c r="L6" s="93"/>
      <c r="N6" s="22"/>
      <c r="O6" s="55"/>
    </row>
    <row r="7" spans="1:15">
      <c r="A7" s="49"/>
      <c r="B7" s="21"/>
      <c r="C7" s="43"/>
      <c r="D7" s="21"/>
      <c r="E7" s="21"/>
      <c r="F7" s="21"/>
      <c r="G7" s="93" t="s">
        <v>32</v>
      </c>
      <c r="H7" s="93"/>
      <c r="I7" s="83" t="s">
        <v>5</v>
      </c>
      <c r="J7" s="43"/>
      <c r="K7" s="21" t="s">
        <v>33</v>
      </c>
      <c r="L7" s="21" t="s">
        <v>34</v>
      </c>
      <c r="N7" s="22"/>
      <c r="O7" s="55"/>
    </row>
    <row r="8" spans="1:15">
      <c r="A8" s="49" t="s">
        <v>6</v>
      </c>
      <c r="B8" s="21" t="s">
        <v>12</v>
      </c>
      <c r="C8" s="43" t="s">
        <v>35</v>
      </c>
      <c r="D8" s="21" t="s">
        <v>8</v>
      </c>
      <c r="E8" s="21" t="s">
        <v>36</v>
      </c>
      <c r="F8" s="21" t="s">
        <v>14</v>
      </c>
      <c r="G8" s="21" t="s">
        <v>37</v>
      </c>
      <c r="H8" s="83" t="s">
        <v>7</v>
      </c>
      <c r="I8" s="21" t="s">
        <v>8</v>
      </c>
      <c r="J8" s="21" t="s">
        <v>9</v>
      </c>
      <c r="K8" s="21" t="s">
        <v>38</v>
      </c>
      <c r="L8" s="21" t="s">
        <v>39</v>
      </c>
      <c r="M8" s="21" t="s">
        <v>40</v>
      </c>
      <c r="N8" s="21" t="s">
        <v>11</v>
      </c>
      <c r="O8" s="55" t="s">
        <v>6</v>
      </c>
    </row>
    <row r="9" spans="1:15">
      <c r="A9" s="49" t="s">
        <v>15</v>
      </c>
      <c r="B9" s="21" t="s">
        <v>21</v>
      </c>
      <c r="C9" s="21" t="s">
        <v>16</v>
      </c>
      <c r="D9" s="21" t="s">
        <v>41</v>
      </c>
      <c r="E9" s="21" t="s">
        <v>41</v>
      </c>
      <c r="F9" s="21" t="s">
        <v>23</v>
      </c>
      <c r="G9" s="21" t="s">
        <v>42</v>
      </c>
      <c r="H9" s="21" t="s">
        <v>17</v>
      </c>
      <c r="I9" s="21" t="s">
        <v>18</v>
      </c>
      <c r="J9" s="21" t="s">
        <v>18</v>
      </c>
      <c r="K9" s="21" t="s">
        <v>4</v>
      </c>
      <c r="L9" s="21" t="s">
        <v>4</v>
      </c>
      <c r="M9" s="21" t="s">
        <v>43</v>
      </c>
      <c r="N9" s="21" t="s">
        <v>20</v>
      </c>
      <c r="O9" s="55" t="s">
        <v>15</v>
      </c>
    </row>
    <row r="10" spans="1:15">
      <c r="A10" s="74"/>
      <c r="B10" s="57" t="s">
        <v>44</v>
      </c>
      <c r="C10" s="57" t="s">
        <v>45</v>
      </c>
      <c r="D10" s="57" t="s">
        <v>46</v>
      </c>
      <c r="E10" s="57" t="s">
        <v>47</v>
      </c>
      <c r="F10" s="57" t="s">
        <v>48</v>
      </c>
      <c r="G10" s="57" t="s">
        <v>49</v>
      </c>
      <c r="H10" s="57" t="s">
        <v>50</v>
      </c>
      <c r="I10" s="57" t="s">
        <v>51</v>
      </c>
      <c r="J10" s="57" t="s">
        <v>52</v>
      </c>
      <c r="K10" s="57" t="s">
        <v>53</v>
      </c>
      <c r="L10" s="57" t="s">
        <v>54</v>
      </c>
      <c r="M10" s="57" t="s">
        <v>55</v>
      </c>
      <c r="N10" s="57" t="s">
        <v>56</v>
      </c>
      <c r="O10" s="79"/>
    </row>
    <row r="11" spans="1:15">
      <c r="A11" s="25">
        <v>1</v>
      </c>
      <c r="O11" s="75">
        <f>A11</f>
        <v>1</v>
      </c>
    </row>
    <row r="12" spans="1:15">
      <c r="A12" s="25">
        <f>A11+1</f>
        <v>2</v>
      </c>
      <c r="C12" s="17" t="s">
        <v>57</v>
      </c>
      <c r="D12" s="10"/>
      <c r="E12" s="18"/>
      <c r="O12" s="75">
        <f>A12</f>
        <v>2</v>
      </c>
    </row>
    <row r="13" spans="1:15">
      <c r="A13" s="25">
        <f t="shared" ref="A13:A23" si="0">A12+1</f>
        <v>3</v>
      </c>
      <c r="B13" s="58">
        <v>3.5999999999999997E-2</v>
      </c>
      <c r="C13" s="8" t="s">
        <v>58</v>
      </c>
      <c r="D13" s="18">
        <f>DATE(2014,3,13)</f>
        <v>41711</v>
      </c>
      <c r="E13" s="18">
        <f>DATE(2024,4,1)</f>
        <v>45383</v>
      </c>
      <c r="F13" s="59">
        <f t="shared" ref="F13" si="1">YEARFRAC(D13,E13)</f>
        <v>10.050000000000001</v>
      </c>
      <c r="G13" s="13">
        <v>425000000</v>
      </c>
      <c r="H13" s="66">
        <f>G13*2/5</f>
        <v>170000000</v>
      </c>
      <c r="I13" s="1">
        <f>(-255000-2635000-710164.21)*2/5</f>
        <v>-1440065.6839999999</v>
      </c>
      <c r="J13" s="1">
        <f>(-1756408.34-183498.35-3167.83)*2/5</f>
        <v>-777229.80800000008</v>
      </c>
      <c r="K13" s="12">
        <f t="shared" ref="K13" si="2">SUM(H13:J13)</f>
        <v>167782704.50800002</v>
      </c>
      <c r="L13" s="60">
        <f t="shared" ref="L13" si="3">K13/H13*100</f>
        <v>98.695708534117657</v>
      </c>
      <c r="M13" s="61">
        <f>ROUND(YIELD(D13,E13,B13,L13,100,2,0),5)</f>
        <v>3.7569999999999999E-2</v>
      </c>
      <c r="N13" s="8">
        <f t="shared" ref="N13" si="4">ROUND(M13,5)*H13</f>
        <v>6386900</v>
      </c>
      <c r="O13" s="75">
        <f>A13</f>
        <v>3</v>
      </c>
    </row>
    <row r="14" spans="1:15">
      <c r="A14" s="25">
        <f t="shared" si="0"/>
        <v>4</v>
      </c>
      <c r="B14" s="58">
        <v>3.3500000000000002E-2</v>
      </c>
      <c r="C14" s="8" t="s">
        <v>59</v>
      </c>
      <c r="D14" s="18">
        <f>DATE(2015,6,19)</f>
        <v>42174</v>
      </c>
      <c r="E14" s="18">
        <f>DATE(2025,7,1)</f>
        <v>45839</v>
      </c>
      <c r="F14" s="59">
        <f t="shared" ref="F14:F15" si="5">YEARFRAC(D14,E14)</f>
        <v>10.033333333333333</v>
      </c>
      <c r="G14" s="13">
        <v>250000000</v>
      </c>
      <c r="H14" s="66">
        <v>250000000</v>
      </c>
      <c r="I14" s="1">
        <f>-320000-1625000-496421.02</f>
        <v>-2441421.02</v>
      </c>
      <c r="J14" s="1">
        <v>0</v>
      </c>
      <c r="K14" s="12">
        <f t="shared" ref="K14:K15" si="6">SUM(H14:J14)</f>
        <v>247558578.97999999</v>
      </c>
      <c r="L14" s="60">
        <f t="shared" ref="L14:L15" si="7">K14/H14*100</f>
        <v>99.023431591999994</v>
      </c>
      <c r="M14" s="61">
        <f>ROUND(YIELD(D14,E14,B14,L14,100,2,0),5)</f>
        <v>3.4660000000000003E-2</v>
      </c>
      <c r="N14" s="8">
        <f t="shared" ref="N14:N15" si="8">ROUND(M14,5)*H14</f>
        <v>8665000</v>
      </c>
      <c r="O14" s="75">
        <f>A14</f>
        <v>4</v>
      </c>
    </row>
    <row r="15" spans="1:15">
      <c r="A15" s="25">
        <f t="shared" si="0"/>
        <v>5</v>
      </c>
      <c r="B15" s="58">
        <v>5.0999999999999997E-2</v>
      </c>
      <c r="C15" s="8" t="s">
        <v>60</v>
      </c>
      <c r="D15" s="18">
        <f>DATE(2024,1,5)</f>
        <v>45296</v>
      </c>
      <c r="E15" s="18">
        <f>DATE(2029,2,15)</f>
        <v>47164</v>
      </c>
      <c r="F15" s="59">
        <f t="shared" si="5"/>
        <v>5.1111111111111107</v>
      </c>
      <c r="G15" s="13">
        <v>500000000</v>
      </c>
      <c r="H15" s="66">
        <f>G15*4/5</f>
        <v>400000000</v>
      </c>
      <c r="I15" s="1">
        <f>(-155000-1625000-742717)*4/5</f>
        <v>-2018173.6</v>
      </c>
      <c r="J15" s="1">
        <v>0</v>
      </c>
      <c r="K15" s="12">
        <f t="shared" si="6"/>
        <v>397981826.39999998</v>
      </c>
      <c r="L15" s="60">
        <f t="shared" si="7"/>
        <v>99.495456599999997</v>
      </c>
      <c r="M15" s="61">
        <f t="shared" ref="M15" si="9">ROUND(YIELD(D15,E15,B15,L15,100,2,0),5)</f>
        <v>5.212E-2</v>
      </c>
      <c r="N15" s="8">
        <f t="shared" si="8"/>
        <v>20848000</v>
      </c>
      <c r="O15" s="75">
        <f t="shared" ref="O15:O24" si="10">A15</f>
        <v>5</v>
      </c>
    </row>
    <row r="16" spans="1:15">
      <c r="A16" s="25">
        <f t="shared" si="0"/>
        <v>6</v>
      </c>
      <c r="B16" s="58">
        <v>3.5000000000000003E-2</v>
      </c>
      <c r="C16" s="8" t="s">
        <v>61</v>
      </c>
      <c r="D16" s="18">
        <f>DATE(2019,3,1)</f>
        <v>43525</v>
      </c>
      <c r="E16" s="18">
        <f>DATE(2029,6,15)</f>
        <v>47284</v>
      </c>
      <c r="F16" s="59">
        <f>YEARFRAC(D16,E16)</f>
        <v>10.28888888888889</v>
      </c>
      <c r="G16" s="13">
        <v>400000000</v>
      </c>
      <c r="H16" s="66">
        <v>400000000</v>
      </c>
      <c r="I16" s="1">
        <f>-740000-1700000-59986.3-374194.58</f>
        <v>-2874180.88</v>
      </c>
      <c r="J16" s="1">
        <v>0</v>
      </c>
      <c r="K16" s="12">
        <f>SUM(H16:J16)</f>
        <v>397125819.12</v>
      </c>
      <c r="L16" s="60">
        <f>K16/H16*100</f>
        <v>99.281454780000004</v>
      </c>
      <c r="M16" s="61">
        <f>ROUND(YIELD(D16,E16,B16,L16,100,2,0),5)</f>
        <v>3.5839999999999997E-2</v>
      </c>
      <c r="N16" s="8">
        <f>ROUND(M16,5)*H16</f>
        <v>14335999.999999998</v>
      </c>
      <c r="O16" s="75">
        <f t="shared" si="10"/>
        <v>6</v>
      </c>
    </row>
    <row r="17" spans="1:17">
      <c r="A17" s="25">
        <f t="shared" si="0"/>
        <v>7</v>
      </c>
      <c r="B17" s="58">
        <v>2.7E-2</v>
      </c>
      <c r="C17" s="8" t="s">
        <v>62</v>
      </c>
      <c r="D17" s="18">
        <f>DATE(2020,4,8)</f>
        <v>43929</v>
      </c>
      <c r="E17" s="18">
        <f>DATE(2030,9,15)</f>
        <v>47741</v>
      </c>
      <c r="F17" s="59">
        <f>YEARFRAC(D17,E17)</f>
        <v>10.436111111111112</v>
      </c>
      <c r="G17" s="13">
        <v>400000000</v>
      </c>
      <c r="H17" s="66">
        <v>400000000</v>
      </c>
      <c r="I17" s="1">
        <f>-720000-1700000-65400.39-391165.2-225.58</f>
        <v>-2876791.1700000004</v>
      </c>
      <c r="J17" s="1">
        <v>0</v>
      </c>
      <c r="K17" s="12">
        <f>SUM(H17:J17)</f>
        <v>397123208.82999998</v>
      </c>
      <c r="L17" s="60">
        <f>K17/H17*100</f>
        <v>99.280802207500003</v>
      </c>
      <c r="M17" s="61">
        <f>ROUND(YIELD(D17,E17,B17,L17,100,2,0),5)</f>
        <v>2.7799999999999998E-2</v>
      </c>
      <c r="N17" s="8">
        <f>ROUND(M17,5)*H17</f>
        <v>11120000</v>
      </c>
      <c r="O17" s="75">
        <f t="shared" si="10"/>
        <v>7</v>
      </c>
    </row>
    <row r="18" spans="1:17">
      <c r="A18" s="25">
        <f t="shared" si="0"/>
        <v>8</v>
      </c>
      <c r="B18" s="58">
        <v>5.2999999999999999E-2</v>
      </c>
      <c r="C18" s="8" t="s">
        <v>63</v>
      </c>
      <c r="D18" s="18">
        <f>DATE(2024,1,5)</f>
        <v>45296</v>
      </c>
      <c r="E18" s="18">
        <f>DATE(2031,2,15)</f>
        <v>47894</v>
      </c>
      <c r="F18" s="59">
        <f t="shared" ref="F18" si="11">YEARFRAC(D18,E18)</f>
        <v>7.1111111111111107</v>
      </c>
      <c r="G18" s="13">
        <v>700000000</v>
      </c>
      <c r="H18" s="66">
        <f>G18*4/5</f>
        <v>560000000</v>
      </c>
      <c r="I18" s="1">
        <f>(-1211000-2625000-1037656)*4/5</f>
        <v>-3898924.8</v>
      </c>
      <c r="J18" s="1">
        <v>0</v>
      </c>
      <c r="K18" s="12">
        <f t="shared" ref="K18" si="12">SUM(H18:J18)</f>
        <v>556101075.20000005</v>
      </c>
      <c r="L18" s="60">
        <f t="shared" ref="L18" si="13">K18/H18*100</f>
        <v>99.303763428571429</v>
      </c>
      <c r="M18" s="61">
        <f t="shared" ref="M18" si="14">ROUND(YIELD(D18,E18,B18,L18,100,2,0),5)</f>
        <v>5.4179999999999999E-2</v>
      </c>
      <c r="N18" s="8">
        <f t="shared" ref="N18" si="15">ROUND(M18,5)*H18</f>
        <v>30340800</v>
      </c>
      <c r="O18" s="75">
        <f t="shared" si="10"/>
        <v>8</v>
      </c>
    </row>
    <row r="19" spans="1:17">
      <c r="A19" s="25">
        <f t="shared" si="0"/>
        <v>9</v>
      </c>
      <c r="B19" s="58">
        <v>7.6999999999999999E-2</v>
      </c>
      <c r="C19" s="8" t="s">
        <v>64</v>
      </c>
      <c r="D19" s="18">
        <f>DATE(2001,11,21)</f>
        <v>37216</v>
      </c>
      <c r="E19" s="18">
        <f>DATE(2031,11,15)</f>
        <v>48167</v>
      </c>
      <c r="F19" s="59">
        <f t="shared" ref="F19:F28" si="16">YEARFRAC(D19,E19)</f>
        <v>29.983333333333334</v>
      </c>
      <c r="G19" s="13">
        <v>300000000</v>
      </c>
      <c r="H19" s="66">
        <v>300000000</v>
      </c>
      <c r="I19" s="1">
        <f>-2625000-864000-212309.65</f>
        <v>-3701309.65</v>
      </c>
      <c r="J19" s="1">
        <v>0</v>
      </c>
      <c r="K19" s="12">
        <f t="shared" ref="K19:K28" si="17">SUM(H19:J19)</f>
        <v>296298690.35000002</v>
      </c>
      <c r="L19" s="60">
        <f t="shared" ref="L19:L28" si="18">K19/H19*100</f>
        <v>98.766230116666677</v>
      </c>
      <c r="M19" s="61">
        <f>ROUND(YIELD(D19,E19,B19,L19,100,2,0),5)</f>
        <v>7.8070000000000001E-2</v>
      </c>
      <c r="N19" s="8">
        <f t="shared" ref="N19:N28" si="19">ROUND(M19,5)*H19</f>
        <v>23421000</v>
      </c>
      <c r="O19" s="75">
        <f t="shared" si="10"/>
        <v>9</v>
      </c>
      <c r="Q19" s="80"/>
    </row>
    <row r="20" spans="1:17">
      <c r="A20" s="25">
        <f t="shared" si="0"/>
        <v>10</v>
      </c>
      <c r="B20" s="58">
        <v>5.45E-2</v>
      </c>
      <c r="C20" s="8" t="s">
        <v>65</v>
      </c>
      <c r="D20" s="18">
        <f>DATE(2024,1,5)</f>
        <v>45296</v>
      </c>
      <c r="E20" s="18">
        <f>DATE(2034,2,15)</f>
        <v>48990</v>
      </c>
      <c r="F20" s="59">
        <f t="shared" si="16"/>
        <v>10.111111111111111</v>
      </c>
      <c r="G20" s="13">
        <v>1100000000</v>
      </c>
      <c r="H20" s="66">
        <f>G20*4/5</f>
        <v>880000000</v>
      </c>
      <c r="I20" s="1">
        <f>(-1969000-4675000-1627736)*4/5</f>
        <v>-6617388.7999999998</v>
      </c>
      <c r="J20" s="1">
        <v>0</v>
      </c>
      <c r="K20" s="12">
        <f t="shared" si="17"/>
        <v>873382611.20000005</v>
      </c>
      <c r="L20" s="60">
        <f t="shared" si="18"/>
        <v>99.248024000000001</v>
      </c>
      <c r="M20" s="61">
        <f t="shared" ref="M20" si="20">ROUND(YIELD(D20,E20,B20,L20,100,2,0),5)</f>
        <v>5.5469999999999998E-2</v>
      </c>
      <c r="N20" s="8">
        <f t="shared" si="19"/>
        <v>48813600</v>
      </c>
      <c r="O20" s="75">
        <f t="shared" si="10"/>
        <v>10</v>
      </c>
      <c r="Q20" s="80"/>
    </row>
    <row r="21" spans="1:17">
      <c r="A21" s="25">
        <f t="shared" si="0"/>
        <v>11</v>
      </c>
      <c r="B21" s="58">
        <v>5.8999999999999997E-2</v>
      </c>
      <c r="C21" s="8" t="s">
        <v>66</v>
      </c>
      <c r="D21" s="18">
        <f>DATE(2004,8,24)</f>
        <v>38223</v>
      </c>
      <c r="E21" s="18">
        <f>DATE(2034,8,15)</f>
        <v>49171</v>
      </c>
      <c r="F21" s="59">
        <f t="shared" si="16"/>
        <v>29.975000000000001</v>
      </c>
      <c r="G21" s="13">
        <v>200000000</v>
      </c>
      <c r="H21" s="66">
        <v>200000000</v>
      </c>
      <c r="I21" s="1">
        <f>-722000-1750000-142365.3</f>
        <v>-2614365.2999999998</v>
      </c>
      <c r="J21" s="1">
        <v>0</v>
      </c>
      <c r="K21" s="12">
        <f t="shared" si="17"/>
        <v>197385634.69999999</v>
      </c>
      <c r="L21" s="60">
        <f t="shared" si="18"/>
        <v>98.692817349999999</v>
      </c>
      <c r="M21" s="61">
        <f t="shared" ref="M21:M34" si="21">ROUND(YIELD(D21,E21,B21,L21,100,2,0),5)</f>
        <v>5.994E-2</v>
      </c>
      <c r="N21" s="8">
        <f t="shared" si="19"/>
        <v>11988000</v>
      </c>
      <c r="O21" s="75">
        <f t="shared" si="10"/>
        <v>11</v>
      </c>
      <c r="Q21" s="80"/>
    </row>
    <row r="22" spans="1:17">
      <c r="A22" s="25">
        <f t="shared" si="0"/>
        <v>12</v>
      </c>
      <c r="B22" s="58">
        <v>5.2499999999999998E-2</v>
      </c>
      <c r="C22" s="8" t="s">
        <v>67</v>
      </c>
      <c r="D22" s="18">
        <f>DATE(2005,6,8)</f>
        <v>38511</v>
      </c>
      <c r="E22" s="18">
        <f>DATE(2035,6,15)</f>
        <v>49475</v>
      </c>
      <c r="F22" s="59">
        <f t="shared" si="16"/>
        <v>30.019444444444446</v>
      </c>
      <c r="G22" s="13">
        <v>300000000</v>
      </c>
      <c r="H22" s="66">
        <v>300000000</v>
      </c>
      <c r="I22" s="1">
        <f>-1080000-2625000-287020.96</f>
        <v>-3992020.96</v>
      </c>
      <c r="J22" s="1">
        <v>-1295995.2</v>
      </c>
      <c r="K22" s="12">
        <f t="shared" si="17"/>
        <v>294711983.84000003</v>
      </c>
      <c r="L22" s="60">
        <f t="shared" si="18"/>
        <v>98.237327946666682</v>
      </c>
      <c r="M22" s="61">
        <f t="shared" si="21"/>
        <v>5.3690000000000002E-2</v>
      </c>
      <c r="N22" s="8">
        <f t="shared" si="19"/>
        <v>16107000</v>
      </c>
      <c r="O22" s="75">
        <f t="shared" si="10"/>
        <v>12</v>
      </c>
    </row>
    <row r="23" spans="1:17">
      <c r="A23" s="25">
        <f t="shared" si="0"/>
        <v>13</v>
      </c>
      <c r="B23" s="58">
        <v>6.0999999999999999E-2</v>
      </c>
      <c r="C23" s="8" t="s">
        <v>68</v>
      </c>
      <c r="D23" s="18">
        <f>DATE(2006,8,10)</f>
        <v>38939</v>
      </c>
      <c r="E23" s="18">
        <f>DATE(2036,8,1)</f>
        <v>49888</v>
      </c>
      <c r="F23" s="59">
        <f t="shared" si="16"/>
        <v>29.975000000000001</v>
      </c>
      <c r="G23" s="13">
        <v>350000000</v>
      </c>
      <c r="H23" s="66">
        <v>350000000</v>
      </c>
      <c r="I23" s="1">
        <f>-1141000-2450000-457880.81</f>
        <v>-4048880.81</v>
      </c>
      <c r="J23" s="1">
        <v>0</v>
      </c>
      <c r="K23" s="12">
        <f t="shared" si="17"/>
        <v>345951119.19</v>
      </c>
      <c r="L23" s="60">
        <f t="shared" si="18"/>
        <v>98.843176911428571</v>
      </c>
      <c r="M23" s="61">
        <f t="shared" si="21"/>
        <v>6.1850000000000002E-2</v>
      </c>
      <c r="N23" s="8">
        <f t="shared" si="19"/>
        <v>21647500</v>
      </c>
      <c r="O23" s="75">
        <f t="shared" si="10"/>
        <v>13</v>
      </c>
    </row>
    <row r="24" spans="1:17">
      <c r="A24" s="25">
        <f t="shared" ref="A24:A42" si="22">A23+1</f>
        <v>14</v>
      </c>
      <c r="B24" s="58">
        <v>5.7500000000000002E-2</v>
      </c>
      <c r="C24" s="8" t="s">
        <v>69</v>
      </c>
      <c r="D24" s="18">
        <f>DATE(2007,3,14)</f>
        <v>39155</v>
      </c>
      <c r="E24" s="18">
        <f>DATE(2037,4,1)</f>
        <v>50131</v>
      </c>
      <c r="F24" s="59">
        <f t="shared" si="16"/>
        <v>30.047222222222221</v>
      </c>
      <c r="G24" s="13">
        <v>600000000</v>
      </c>
      <c r="H24" s="66">
        <v>600000000</v>
      </c>
      <c r="I24" s="1">
        <f>-24000-589216.14</f>
        <v>-613216.14</v>
      </c>
      <c r="J24" s="1">
        <v>0</v>
      </c>
      <c r="K24" s="12">
        <f t="shared" si="17"/>
        <v>599386783.86000001</v>
      </c>
      <c r="L24" s="60">
        <f t="shared" si="18"/>
        <v>99.897797310000001</v>
      </c>
      <c r="M24" s="61">
        <f t="shared" si="21"/>
        <v>5.7570000000000003E-2</v>
      </c>
      <c r="N24" s="8">
        <f t="shared" si="19"/>
        <v>34542000</v>
      </c>
      <c r="O24" s="75">
        <f t="shared" si="10"/>
        <v>14</v>
      </c>
    </row>
    <row r="25" spans="1:17">
      <c r="A25" s="25">
        <f t="shared" si="22"/>
        <v>15</v>
      </c>
      <c r="B25" s="58">
        <v>6.25E-2</v>
      </c>
      <c r="C25" s="8" t="s">
        <v>70</v>
      </c>
      <c r="D25" s="18">
        <f>DATE(2007,10,3)</f>
        <v>39358</v>
      </c>
      <c r="E25" s="18">
        <f>DATE(2037,10,15)</f>
        <v>50328</v>
      </c>
      <c r="F25" s="59">
        <f t="shared" si="16"/>
        <v>30.033333333333335</v>
      </c>
      <c r="G25" s="13">
        <v>600000000</v>
      </c>
      <c r="H25" s="66">
        <v>600000000</v>
      </c>
      <c r="I25" s="1">
        <f>-750000-4650000-477281.03</f>
        <v>-5877281.0300000003</v>
      </c>
      <c r="J25" s="1">
        <v>0</v>
      </c>
      <c r="K25" s="12">
        <f t="shared" si="17"/>
        <v>594122718.97000003</v>
      </c>
      <c r="L25" s="60">
        <f t="shared" si="18"/>
        <v>99.020453161666666</v>
      </c>
      <c r="M25" s="61">
        <f t="shared" si="21"/>
        <v>6.3229999999999995E-2</v>
      </c>
      <c r="N25" s="8">
        <f t="shared" si="19"/>
        <v>37938000</v>
      </c>
      <c r="O25" s="75">
        <f t="shared" ref="O25:O34" si="23">A25</f>
        <v>15</v>
      </c>
    </row>
    <row r="26" spans="1:17">
      <c r="A26" s="25">
        <f t="shared" si="22"/>
        <v>16</v>
      </c>
      <c r="B26" s="58">
        <v>6.3500000000000001E-2</v>
      </c>
      <c r="C26" s="8" t="s">
        <v>71</v>
      </c>
      <c r="D26" s="18">
        <f>DATE(2008,7,17)</f>
        <v>39646</v>
      </c>
      <c r="E26" s="18">
        <f>DATE(2038,7,15)</f>
        <v>50601</v>
      </c>
      <c r="F26" s="59">
        <f t="shared" si="16"/>
        <v>29.994444444444444</v>
      </c>
      <c r="G26" s="13">
        <v>300000000</v>
      </c>
      <c r="H26" s="66">
        <v>300000000</v>
      </c>
      <c r="I26" s="1">
        <f>-1671000-2100000-189957.54-375</f>
        <v>-3961332.54</v>
      </c>
      <c r="J26" s="1">
        <v>0</v>
      </c>
      <c r="K26" s="12">
        <f t="shared" si="17"/>
        <v>296038667.45999998</v>
      </c>
      <c r="L26" s="60">
        <f t="shared" si="18"/>
        <v>98.679555820000004</v>
      </c>
      <c r="M26" s="61">
        <f t="shared" si="21"/>
        <v>6.4500000000000002E-2</v>
      </c>
      <c r="N26" s="8">
        <f t="shared" si="19"/>
        <v>19350000</v>
      </c>
      <c r="O26" s="75">
        <f t="shared" si="23"/>
        <v>16</v>
      </c>
    </row>
    <row r="27" spans="1:17">
      <c r="A27" s="25">
        <f t="shared" si="22"/>
        <v>17</v>
      </c>
      <c r="B27" s="58">
        <v>0.06</v>
      </c>
      <c r="C27" s="8" t="s">
        <v>72</v>
      </c>
      <c r="D27" s="18">
        <f>DATE(2009,1,8)</f>
        <v>39821</v>
      </c>
      <c r="E27" s="18">
        <f>DATE(2039,1,15)</f>
        <v>50785</v>
      </c>
      <c r="F27" s="59">
        <f t="shared" si="16"/>
        <v>30.019444444444446</v>
      </c>
      <c r="G27" s="13">
        <v>650000000</v>
      </c>
      <c r="H27" s="66">
        <v>650000000</v>
      </c>
      <c r="I27" s="1">
        <f>-6175000-5687500-436184.72-11002.1</f>
        <v>-12309686.82</v>
      </c>
      <c r="J27" s="1">
        <v>0</v>
      </c>
      <c r="K27" s="12">
        <f t="shared" si="17"/>
        <v>637690313.17999995</v>
      </c>
      <c r="L27" s="60">
        <f t="shared" si="18"/>
        <v>98.106202027692305</v>
      </c>
      <c r="M27" s="61">
        <f t="shared" si="21"/>
        <v>6.139E-2</v>
      </c>
      <c r="N27" s="8">
        <f t="shared" si="19"/>
        <v>39903500</v>
      </c>
      <c r="O27" s="75">
        <f t="shared" si="23"/>
        <v>17</v>
      </c>
    </row>
    <row r="28" spans="1:17">
      <c r="A28" s="25">
        <f t="shared" si="22"/>
        <v>18</v>
      </c>
      <c r="B28" s="58">
        <v>4.1000000000000002E-2</v>
      </c>
      <c r="C28" s="8" t="s">
        <v>73</v>
      </c>
      <c r="D28" s="18">
        <f>DATE(2012,1,6)</f>
        <v>40914</v>
      </c>
      <c r="E28" s="18">
        <f>DATE(2042,2,1)</f>
        <v>51898</v>
      </c>
      <c r="F28" s="59">
        <f t="shared" si="16"/>
        <v>30.069444444444443</v>
      </c>
      <c r="G28" s="13">
        <v>300000000</v>
      </c>
      <c r="H28" s="66">
        <v>300000000</v>
      </c>
      <c r="I28" s="1">
        <f>-2400000-987000-337549.42-361.51</f>
        <v>-3724910.9299999997</v>
      </c>
      <c r="J28" s="1">
        <v>0</v>
      </c>
      <c r="K28" s="12">
        <f t="shared" si="17"/>
        <v>296275089.06999999</v>
      </c>
      <c r="L28" s="60">
        <f t="shared" si="18"/>
        <v>98.758363023333331</v>
      </c>
      <c r="M28" s="61">
        <f t="shared" si="21"/>
        <v>4.1730000000000003E-2</v>
      </c>
      <c r="N28" s="8">
        <f t="shared" si="19"/>
        <v>12519000.000000002</v>
      </c>
      <c r="O28" s="75">
        <f t="shared" si="23"/>
        <v>18</v>
      </c>
    </row>
    <row r="29" spans="1:17">
      <c r="A29" s="25">
        <f t="shared" si="22"/>
        <v>19</v>
      </c>
      <c r="B29" s="58">
        <v>4.1250000000000002E-2</v>
      </c>
      <c r="C29" s="8" t="s">
        <v>74</v>
      </c>
      <c r="D29" s="18">
        <f>DATE(2018,7,13)</f>
        <v>43294</v>
      </c>
      <c r="E29" s="18">
        <f>DATE(2049,1,15)</f>
        <v>54438</v>
      </c>
      <c r="F29" s="59">
        <f t="shared" ref="F29" si="24">YEARFRAC(D29,E29)</f>
        <v>30.505555555555556</v>
      </c>
      <c r="G29" s="13">
        <v>600000000</v>
      </c>
      <c r="H29" s="66">
        <v>600000000</v>
      </c>
      <c r="I29" s="1">
        <f>-1344000-4800000-86899.03-753185.56</f>
        <v>-6984084.5899999999</v>
      </c>
      <c r="J29" s="1">
        <v>0</v>
      </c>
      <c r="K29" s="12">
        <f t="shared" ref="K29" si="25">SUM(H29:J29)</f>
        <v>593015915.40999997</v>
      </c>
      <c r="L29" s="60">
        <f t="shared" ref="L29" si="26">K29/H29*100</f>
        <v>98.83598590166666</v>
      </c>
      <c r="M29" s="61">
        <f t="shared" si="21"/>
        <v>4.1930000000000002E-2</v>
      </c>
      <c r="N29" s="8">
        <f t="shared" ref="N29" si="27">ROUND(M29,5)*H29</f>
        <v>25158000</v>
      </c>
      <c r="O29" s="75">
        <f t="shared" si="23"/>
        <v>19</v>
      </c>
    </row>
    <row r="30" spans="1:17">
      <c r="A30" s="25">
        <f t="shared" si="22"/>
        <v>20</v>
      </c>
      <c r="B30" s="58">
        <v>4.1500000000000002E-2</v>
      </c>
      <c r="C30" s="8" t="s">
        <v>75</v>
      </c>
      <c r="D30" s="18">
        <f>DATE(2019,3,1)</f>
        <v>43525</v>
      </c>
      <c r="E30" s="18">
        <f>DATE(2050,2,15)</f>
        <v>54834</v>
      </c>
      <c r="F30" s="59">
        <f t="shared" ref="F30" si="28">YEARFRAC(D30,E30)</f>
        <v>30.955555555555556</v>
      </c>
      <c r="G30" s="13">
        <v>600000000</v>
      </c>
      <c r="H30" s="66">
        <v>600000000</v>
      </c>
      <c r="I30" s="1">
        <f>-2790000-4500000-89979.46-558791.88</f>
        <v>-7938771.3399999999</v>
      </c>
      <c r="J30" s="1">
        <v>0</v>
      </c>
      <c r="K30" s="12">
        <f t="shared" ref="K30" si="29">SUM(H30:J30)</f>
        <v>592061228.65999997</v>
      </c>
      <c r="L30" s="60">
        <f t="shared" ref="L30" si="30">K30/H30*100</f>
        <v>98.676871443333326</v>
      </c>
      <c r="M30" s="61">
        <f t="shared" si="21"/>
        <v>4.2270000000000002E-2</v>
      </c>
      <c r="N30" s="8">
        <f t="shared" ref="N30" si="31">ROUND(M30,5)*H30</f>
        <v>25362000</v>
      </c>
      <c r="O30" s="75">
        <f t="shared" si="23"/>
        <v>20</v>
      </c>
    </row>
    <row r="31" spans="1:17">
      <c r="A31" s="25">
        <f t="shared" si="22"/>
        <v>21</v>
      </c>
      <c r="B31" s="58">
        <v>3.3000000000000002E-2</v>
      </c>
      <c r="C31" s="8" t="s">
        <v>76</v>
      </c>
      <c r="D31" s="18">
        <f>DATE(2020,4,8)</f>
        <v>43929</v>
      </c>
      <c r="E31" s="18">
        <f>DATE(2051,3,15)</f>
        <v>55227</v>
      </c>
      <c r="F31" s="59">
        <f t="shared" ref="F31" si="32">YEARFRAC(D31,E31)</f>
        <v>30.93611111111111</v>
      </c>
      <c r="G31" s="13">
        <v>600000000</v>
      </c>
      <c r="H31" s="66">
        <v>600000000</v>
      </c>
      <c r="I31" s="1">
        <f>-4944000-4500000-98100.59-585497.81-338.37</f>
        <v>-10127936.77</v>
      </c>
      <c r="J31" s="1">
        <v>0</v>
      </c>
      <c r="K31" s="12">
        <f t="shared" ref="K31" si="33">SUM(H31:J31)</f>
        <v>589872063.23000002</v>
      </c>
      <c r="L31" s="60">
        <f t="shared" ref="L31" si="34">K31/H31*100</f>
        <v>98.31201053833334</v>
      </c>
      <c r="M31" s="61">
        <f t="shared" si="21"/>
        <v>3.388E-2</v>
      </c>
      <c r="N31" s="8">
        <f t="shared" ref="N31" si="35">ROUND(M31,5)*H31</f>
        <v>20328000</v>
      </c>
      <c r="O31" s="75">
        <f t="shared" si="23"/>
        <v>21</v>
      </c>
    </row>
    <row r="32" spans="1:17">
      <c r="A32" s="25">
        <f t="shared" si="22"/>
        <v>22</v>
      </c>
      <c r="B32" s="58">
        <v>2.9000000000000001E-2</v>
      </c>
      <c r="C32" s="8" t="s">
        <v>77</v>
      </c>
      <c r="D32" s="18">
        <f>DATE(2021,7,9)</f>
        <v>44386</v>
      </c>
      <c r="E32" s="18">
        <f>DATE(2052,6,15)</f>
        <v>55685</v>
      </c>
      <c r="F32" s="59">
        <f t="shared" ref="F32" si="36">YEARFRAC(D32,E32)</f>
        <v>30.933333333333334</v>
      </c>
      <c r="G32" s="13">
        <v>1000000000</v>
      </c>
      <c r="H32" s="66">
        <v>1000000000</v>
      </c>
      <c r="I32" s="1">
        <f>-7670000-7500000-38616.9-1150-850357.1-537750-1500</f>
        <v>-16599374</v>
      </c>
      <c r="J32" s="1">
        <v>0</v>
      </c>
      <c r="K32" s="12">
        <f t="shared" ref="K32" si="37">SUM(H32:J32)</f>
        <v>983400626</v>
      </c>
      <c r="L32" s="60">
        <f t="shared" ref="L32" si="38">K32/H32*100</f>
        <v>98.340062599999996</v>
      </c>
      <c r="M32" s="61">
        <f t="shared" si="21"/>
        <v>2.9819999999999999E-2</v>
      </c>
      <c r="N32" s="8">
        <f t="shared" ref="N32" si="39">ROUND(M32,5)*H32</f>
        <v>29820000</v>
      </c>
      <c r="O32" s="75">
        <f t="shared" si="23"/>
        <v>22</v>
      </c>
      <c r="Q32" s="81"/>
    </row>
    <row r="33" spans="1:17">
      <c r="A33" s="25">
        <f t="shared" si="22"/>
        <v>23</v>
      </c>
      <c r="B33" s="58">
        <v>5.3499999999999999E-2</v>
      </c>
      <c r="C33" s="8" t="s">
        <v>78</v>
      </c>
      <c r="D33" s="18">
        <f>DATE(2022,12,1)</f>
        <v>44896</v>
      </c>
      <c r="E33" s="18">
        <f>DATE(2053,12,1)</f>
        <v>56219</v>
      </c>
      <c r="F33" s="59">
        <f t="shared" ref="F33" si="40">YEARFRAC(D33,E33)</f>
        <v>31</v>
      </c>
      <c r="G33" s="13">
        <v>1100000000</v>
      </c>
      <c r="H33" s="66">
        <v>1100000000</v>
      </c>
      <c r="I33" s="1">
        <f>-3300000-8250000-38616.9-920009.39-783044.25-6303.03-1101.25+6303.03</f>
        <v>-13292771.790000001</v>
      </c>
      <c r="J33" s="1">
        <v>0</v>
      </c>
      <c r="K33" s="12">
        <f t="shared" ref="K33" si="41">SUM(H33:J33)</f>
        <v>1086707228.21</v>
      </c>
      <c r="L33" s="60">
        <f t="shared" ref="L33" si="42">K33/H33*100</f>
        <v>98.791566200909102</v>
      </c>
      <c r="M33" s="61">
        <f t="shared" si="21"/>
        <v>5.4309999999999997E-2</v>
      </c>
      <c r="N33" s="8">
        <f t="shared" ref="N33" si="43">ROUND(M33,5)*H33</f>
        <v>59741000</v>
      </c>
      <c r="O33" s="75">
        <f t="shared" si="23"/>
        <v>23</v>
      </c>
      <c r="Q33" s="81"/>
    </row>
    <row r="34" spans="1:17">
      <c r="A34" s="25">
        <f t="shared" si="22"/>
        <v>24</v>
      </c>
      <c r="B34" s="58">
        <v>5.5E-2</v>
      </c>
      <c r="C34" s="8" t="s">
        <v>79</v>
      </c>
      <c r="D34" s="18">
        <f>DATE(2023,5,17)</f>
        <v>45063</v>
      </c>
      <c r="E34" s="18">
        <f>DATE(2054,5,15)</f>
        <v>56384</v>
      </c>
      <c r="F34" s="59">
        <f t="shared" ref="F34:F35" si="44">YEARFRAC(D34,E34)</f>
        <v>30.994444444444444</v>
      </c>
      <c r="G34" s="13">
        <v>1200000000</v>
      </c>
      <c r="H34" s="66">
        <v>1200000000</v>
      </c>
      <c r="I34" s="1">
        <f>-528000-9000000-2011269.46-1010</f>
        <v>-11540279.460000001</v>
      </c>
      <c r="J34" s="1">
        <v>0</v>
      </c>
      <c r="K34" s="12">
        <f t="shared" ref="K34" si="45">SUM(H34:J34)</f>
        <v>1188459720.54</v>
      </c>
      <c r="L34" s="60">
        <f t="shared" ref="L34:L35" si="46">K34/H34*100</f>
        <v>99.038310045000003</v>
      </c>
      <c r="M34" s="61">
        <f t="shared" si="21"/>
        <v>5.5649999999999998E-2</v>
      </c>
      <c r="N34" s="8">
        <f t="shared" ref="N34:N35" si="47">ROUND(M34,5)*H34</f>
        <v>66780000</v>
      </c>
      <c r="O34" s="75">
        <f t="shared" si="23"/>
        <v>24</v>
      </c>
      <c r="Q34" s="82"/>
    </row>
    <row r="35" spans="1:17">
      <c r="A35" s="25">
        <f t="shared" si="22"/>
        <v>25</v>
      </c>
      <c r="B35" s="58">
        <v>5.8000000000000003E-2</v>
      </c>
      <c r="C35" s="8" t="s">
        <v>80</v>
      </c>
      <c r="D35" s="18">
        <f>DATE(2024,1,5)</f>
        <v>45296</v>
      </c>
      <c r="E35" s="18">
        <f>DATE(2055,1,15)</f>
        <v>56629</v>
      </c>
      <c r="F35" s="59">
        <f t="shared" si="44"/>
        <v>31.027777777777779</v>
      </c>
      <c r="G35" s="13">
        <v>1500000000</v>
      </c>
      <c r="H35" s="66">
        <f>G35*4/5</f>
        <v>1200000000</v>
      </c>
      <c r="I35" s="1">
        <f>(-9015000-11250000-2216891)*4/5</f>
        <v>-17985512.800000001</v>
      </c>
      <c r="J35" s="1">
        <v>0</v>
      </c>
      <c r="K35" s="12">
        <f t="shared" ref="K35" si="48">SUM(H35:J35)</f>
        <v>1182014487.2</v>
      </c>
      <c r="L35" s="60">
        <f t="shared" si="46"/>
        <v>98.501207266666668</v>
      </c>
      <c r="M35" s="61">
        <f t="shared" ref="M35" si="49">ROUND(YIELD(D35,E35,B35,L35,100,2,0),5)</f>
        <v>5.9060000000000001E-2</v>
      </c>
      <c r="N35" s="8">
        <f t="shared" si="47"/>
        <v>70872000</v>
      </c>
      <c r="O35" s="75">
        <f t="shared" ref="O35:O38" si="50">A35</f>
        <v>25</v>
      </c>
      <c r="Q35" s="82"/>
    </row>
    <row r="36" spans="1:17">
      <c r="A36" s="25">
        <f t="shared" si="22"/>
        <v>26</v>
      </c>
      <c r="B36" s="62">
        <f>SUMPRODUCT(B13:B35,H13:H35)/H36</f>
        <v>4.9736496913580244E-2</v>
      </c>
      <c r="C36" s="16" t="s">
        <v>81</v>
      </c>
      <c r="D36" s="18"/>
      <c r="E36" s="18"/>
      <c r="F36" s="63">
        <f>SUMPRODUCT(F13:F35,H13:H35)/H36</f>
        <v>25.49358281893004</v>
      </c>
      <c r="H36" s="64">
        <f>SUM(H13:H35)</f>
        <v>12960000000</v>
      </c>
      <c r="I36" s="64">
        <f>SUM(I13:I35)</f>
        <v>-147478680.88400003</v>
      </c>
      <c r="J36" s="64">
        <f>SUM(J13:J35)</f>
        <v>-2073225.0079999999</v>
      </c>
      <c r="K36" s="64">
        <f>SUM(K13:K35)</f>
        <v>12810448094.108002</v>
      </c>
      <c r="M36" s="65">
        <f>N36/H36</f>
        <v>5.0616304012345681E-2</v>
      </c>
      <c r="N36" s="16">
        <f>SUM(N13:N35)</f>
        <v>655987300</v>
      </c>
      <c r="O36" s="75">
        <f t="shared" si="50"/>
        <v>26</v>
      </c>
    </row>
    <row r="37" spans="1:17">
      <c r="A37" s="25">
        <f t="shared" si="22"/>
        <v>27</v>
      </c>
      <c r="D37" s="18"/>
      <c r="E37" s="18"/>
      <c r="F37" s="59"/>
      <c r="H37" s="11"/>
      <c r="I37" s="12"/>
      <c r="K37" s="12"/>
      <c r="L37" s="61"/>
      <c r="M37" s="61"/>
      <c r="O37" s="75">
        <f t="shared" si="50"/>
        <v>27</v>
      </c>
      <c r="Q37" s="81"/>
    </row>
    <row r="38" spans="1:17">
      <c r="A38" s="25">
        <f t="shared" si="22"/>
        <v>28</v>
      </c>
      <c r="B38" s="15">
        <v>6.7100000000000007E-2</v>
      </c>
      <c r="C38" s="8" t="s">
        <v>82</v>
      </c>
      <c r="D38" s="18">
        <f>DATE(1996,1,23)</f>
        <v>35087</v>
      </c>
      <c r="E38" s="18">
        <f>DATE(2026,1,15)</f>
        <v>46037</v>
      </c>
      <c r="F38" s="59">
        <f>YEARFRAC(D38,E38)</f>
        <v>29.977777777777778</v>
      </c>
      <c r="G38" s="1">
        <v>100000000</v>
      </c>
      <c r="H38" s="67">
        <v>100000000</v>
      </c>
      <c r="I38" s="1">
        <f>(H38*-0.00875)-1238.49-2843.43-5000-1895.25-10252.38-2112.63-6124.41</f>
        <v>-904466.5900000002</v>
      </c>
      <c r="J38" s="1">
        <v>0</v>
      </c>
      <c r="K38" s="1">
        <f>SUM(H38:J38)</f>
        <v>99095533.409999996</v>
      </c>
      <c r="L38" s="60">
        <f>K38/H38*100</f>
        <v>99.095533409999987</v>
      </c>
      <c r="M38" s="61">
        <f>ROUND(YIELD(D38,E38,B38,L38,100,2,0),5)</f>
        <v>6.7809999999999995E-2</v>
      </c>
      <c r="N38" s="1">
        <f>ROUND(M38,5)*H38</f>
        <v>6780999.9999999991</v>
      </c>
      <c r="O38" s="75">
        <f t="shared" si="50"/>
        <v>28</v>
      </c>
    </row>
    <row r="39" spans="1:17">
      <c r="A39" s="25">
        <f t="shared" si="22"/>
        <v>29</v>
      </c>
      <c r="B39" s="62">
        <f>SUMPRODUCT(B38:B38,H38:H38)/H39</f>
        <v>6.7100000000000007E-2</v>
      </c>
      <c r="C39" s="16" t="s">
        <v>83</v>
      </c>
      <c r="D39" s="18"/>
      <c r="E39" s="18"/>
      <c r="F39" s="63">
        <f>SUMPRODUCT(F38:F38,H38:H38)/H39</f>
        <v>29.977777777777778</v>
      </c>
      <c r="H39" s="16">
        <f>SUM(H38:H38)</f>
        <v>100000000</v>
      </c>
      <c r="I39" s="16">
        <f>SUM(I38:I38)</f>
        <v>-904466.5900000002</v>
      </c>
      <c r="J39" s="16">
        <f>SUM(J38:J38)</f>
        <v>0</v>
      </c>
      <c r="K39" s="16">
        <f>SUM(K38:K38)</f>
        <v>99095533.409999996</v>
      </c>
      <c r="L39" s="61"/>
      <c r="M39" s="65">
        <f>N39/H39</f>
        <v>6.7809999999999995E-2</v>
      </c>
      <c r="N39" s="16">
        <f>SUM(N38:N38)</f>
        <v>6780999.9999999991</v>
      </c>
      <c r="O39" s="75">
        <f t="shared" ref="O39:O65" si="51">A39</f>
        <v>29</v>
      </c>
    </row>
    <row r="40" spans="1:17">
      <c r="A40" s="25">
        <f t="shared" si="22"/>
        <v>30</v>
      </c>
      <c r="D40" s="18"/>
      <c r="E40" s="18"/>
      <c r="F40" s="59"/>
      <c r="H40" s="11"/>
      <c r="I40" s="12"/>
      <c r="K40" s="12"/>
      <c r="L40" s="61"/>
      <c r="M40" s="61"/>
      <c r="O40" s="75">
        <f t="shared" si="51"/>
        <v>30</v>
      </c>
    </row>
    <row r="41" spans="1:17">
      <c r="A41" s="25">
        <f t="shared" si="22"/>
        <v>31</v>
      </c>
      <c r="B41" s="62">
        <f>(+B36*H36+B39*H39)/H41</f>
        <v>4.9869448698315465E-2</v>
      </c>
      <c r="C41" s="16" t="s">
        <v>24</v>
      </c>
      <c r="D41" s="18"/>
      <c r="E41" s="18"/>
      <c r="F41" s="63">
        <f>(+F36*H36+F39*H39)/H41</f>
        <v>25.527918155521522</v>
      </c>
      <c r="H41" s="16">
        <f>+H36+H39</f>
        <v>13060000000</v>
      </c>
      <c r="I41" s="16">
        <f>+I36+I39</f>
        <v>-148383147.47400004</v>
      </c>
      <c r="J41" s="16">
        <f>+J36+J39</f>
        <v>-2073225.0079999999</v>
      </c>
      <c r="K41" s="16">
        <f>+K36+K39</f>
        <v>12909543627.518002</v>
      </c>
      <c r="L41" s="61"/>
      <c r="M41" s="65">
        <f>N41/H41</f>
        <v>5.0747955589586523E-2</v>
      </c>
      <c r="N41" s="16">
        <f>+N36+N39</f>
        <v>662768300</v>
      </c>
      <c r="O41" s="75">
        <f t="shared" si="51"/>
        <v>31</v>
      </c>
    </row>
    <row r="42" spans="1:17">
      <c r="A42" s="25">
        <f t="shared" si="22"/>
        <v>32</v>
      </c>
      <c r="D42" s="18"/>
      <c r="E42" s="18"/>
      <c r="F42" s="59"/>
      <c r="H42" s="11"/>
      <c r="I42" s="12"/>
      <c r="K42" s="12"/>
      <c r="L42" s="61"/>
      <c r="M42" s="61"/>
      <c r="N42" s="12"/>
      <c r="O42" s="75">
        <f t="shared" si="51"/>
        <v>32</v>
      </c>
    </row>
    <row r="43" spans="1:17">
      <c r="A43" s="25">
        <f t="shared" ref="A43:A63" si="52">A42+1</f>
        <v>33</v>
      </c>
      <c r="C43" s="17" t="s">
        <v>84</v>
      </c>
      <c r="D43" s="18"/>
      <c r="E43" s="18"/>
      <c r="F43" s="59"/>
      <c r="H43" s="11"/>
      <c r="I43" s="12"/>
      <c r="K43" s="12"/>
      <c r="L43" s="61"/>
      <c r="M43" s="61"/>
      <c r="N43" s="12"/>
      <c r="O43" s="75">
        <f t="shared" si="51"/>
        <v>33</v>
      </c>
    </row>
    <row r="44" spans="1:17">
      <c r="A44" s="25">
        <f t="shared" si="52"/>
        <v>34</v>
      </c>
      <c r="B44" s="68">
        <v>5.0142884904293347E-2</v>
      </c>
      <c r="C44" s="8" t="s">
        <v>85</v>
      </c>
      <c r="D44" s="18">
        <f>DATE(1994,11,17)</f>
        <v>34655</v>
      </c>
      <c r="E44" s="18">
        <f>DATE(2024,11,1)</f>
        <v>45597</v>
      </c>
      <c r="F44" s="59">
        <f t="shared" ref="F44:F49" si="53">YEARFRAC(D44,E44)</f>
        <v>29.955555555555556</v>
      </c>
      <c r="G44" s="1">
        <v>8190000</v>
      </c>
      <c r="H44" s="67">
        <f>G44*4/5</f>
        <v>6552000</v>
      </c>
      <c r="I44" s="1">
        <f>(-183929-93.65-9.49-32.4-20274.2-5147.2+527.73-555.55-263.72-0.15)*4/5</f>
        <v>-167822.10399999999</v>
      </c>
      <c r="J44" s="1">
        <f>(-86323)*4/5</f>
        <v>-69058.399999999994</v>
      </c>
      <c r="K44" s="1">
        <f t="shared" ref="K44:K49" si="54">SUM(H44:J44)</f>
        <v>6315119.4959999993</v>
      </c>
      <c r="L44" s="60">
        <f t="shared" ref="L44:L49" si="55">K44/H44*100</f>
        <v>96.384607692307682</v>
      </c>
      <c r="M44" s="61">
        <f t="shared" ref="M44:M49" si="56">ROUND(YIELD(D44,E44,B44,L44,100,4,1),5)</f>
        <v>5.2540000000000003E-2</v>
      </c>
      <c r="N44" s="12">
        <f t="shared" ref="N44:N49" si="57">ROUND(M44,5)*H44</f>
        <v>344242.08</v>
      </c>
      <c r="O44" s="75">
        <f t="shared" si="51"/>
        <v>34</v>
      </c>
    </row>
    <row r="45" spans="1:17">
      <c r="A45" s="25">
        <f t="shared" si="52"/>
        <v>35</v>
      </c>
      <c r="B45" s="68">
        <v>4.9815753856236919E-2</v>
      </c>
      <c r="C45" s="8" t="s">
        <v>86</v>
      </c>
      <c r="D45" s="18">
        <f>DATE(1994,11,17)</f>
        <v>34655</v>
      </c>
      <c r="E45" s="18">
        <f>DATE(2024,11,1)</f>
        <v>45597</v>
      </c>
      <c r="F45" s="59">
        <f t="shared" si="53"/>
        <v>29.955555555555556</v>
      </c>
      <c r="G45" s="1">
        <v>121940000</v>
      </c>
      <c r="H45" s="67">
        <f t="shared" ref="H45:H47" si="58">G45*4/5</f>
        <v>97552000</v>
      </c>
      <c r="I45" s="1">
        <f>(-2969452-1956.29-141.25-481.71-301860.26-92.38+3920.28-2222.23-1959.09-1.04)*4/5</f>
        <v>-2619396.7759999996</v>
      </c>
      <c r="J45" s="1">
        <f>((-1935450)+9683)*4/5</f>
        <v>-1540613.6</v>
      </c>
      <c r="K45" s="1">
        <f t="shared" si="54"/>
        <v>93391989.624000013</v>
      </c>
      <c r="L45" s="60">
        <f t="shared" si="55"/>
        <v>95.735597039527647</v>
      </c>
      <c r="M45" s="61">
        <f t="shared" si="56"/>
        <v>5.2650000000000002E-2</v>
      </c>
      <c r="N45" s="12">
        <f t="shared" si="57"/>
        <v>5136112.8</v>
      </c>
      <c r="O45" s="75">
        <f t="shared" si="51"/>
        <v>35</v>
      </c>
    </row>
    <row r="46" spans="1:17">
      <c r="A46" s="25">
        <f t="shared" si="52"/>
        <v>36</v>
      </c>
      <c r="B46" s="68">
        <v>5.1239963045939217E-2</v>
      </c>
      <c r="C46" s="8" t="s">
        <v>87</v>
      </c>
      <c r="D46" s="18">
        <f>DATE(1994,11,17)</f>
        <v>34655</v>
      </c>
      <c r="E46" s="18">
        <f>DATE(2024,11,1)</f>
        <v>45597</v>
      </c>
      <c r="F46" s="59">
        <f t="shared" si="53"/>
        <v>29.955555555555556</v>
      </c>
      <c r="G46" s="1">
        <v>15060000</v>
      </c>
      <c r="H46" s="67">
        <f t="shared" si="58"/>
        <v>12048000</v>
      </c>
      <c r="I46" s="1">
        <f>(-375570-172.07-17.44-59.52-37280.76-9466.37+527.73-555.56-263.72-0.15)*4/5</f>
        <v>-338286.28800000006</v>
      </c>
      <c r="J46" s="1">
        <f>((-92641)+11214)*4/5</f>
        <v>-65141.599999999999</v>
      </c>
      <c r="K46" s="1">
        <f t="shared" si="54"/>
        <v>11644572.112</v>
      </c>
      <c r="L46" s="60">
        <f t="shared" si="55"/>
        <v>96.651494953519261</v>
      </c>
      <c r="M46" s="61">
        <f t="shared" si="56"/>
        <v>5.3490000000000003E-2</v>
      </c>
      <c r="N46" s="12">
        <f t="shared" si="57"/>
        <v>644447.52</v>
      </c>
      <c r="O46" s="75">
        <f t="shared" si="51"/>
        <v>36</v>
      </c>
    </row>
    <row r="47" spans="1:17">
      <c r="A47" s="25">
        <f t="shared" si="52"/>
        <v>37</v>
      </c>
      <c r="B47" s="68">
        <v>5.0479115539133569E-2</v>
      </c>
      <c r="C47" s="8" t="s">
        <v>88</v>
      </c>
      <c r="D47" s="18">
        <f>DATE(1994,11,17)</f>
        <v>34655</v>
      </c>
      <c r="E47" s="18">
        <f>DATE(2024,11,1)</f>
        <v>45597</v>
      </c>
      <c r="F47" s="59">
        <f t="shared" si="53"/>
        <v>29.955555555555556</v>
      </c>
      <c r="G47" s="1">
        <v>21260000</v>
      </c>
      <c r="H47" s="67">
        <f t="shared" si="58"/>
        <v>17008000</v>
      </c>
      <c r="I47" s="1">
        <f>(-412545-242.74-24.63-31480.09-52628.74-13360.33+18.88+678.51-555.55-339.07-0.18)*4/5</f>
        <v>-408383.152</v>
      </c>
      <c r="J47" s="1">
        <f>(-88352)*4/5</f>
        <v>-70681.600000000006</v>
      </c>
      <c r="K47" s="1">
        <f t="shared" si="54"/>
        <v>16528935.248</v>
      </c>
      <c r="L47" s="60">
        <f t="shared" si="55"/>
        <v>97.183297554092178</v>
      </c>
      <c r="M47" s="61">
        <f t="shared" si="56"/>
        <v>5.2350000000000001E-2</v>
      </c>
      <c r="N47" s="12">
        <f t="shared" si="57"/>
        <v>890368.8</v>
      </c>
      <c r="O47" s="75">
        <f t="shared" si="51"/>
        <v>37</v>
      </c>
    </row>
    <row r="48" spans="1:17">
      <c r="A48" s="25">
        <f t="shared" si="52"/>
        <v>38</v>
      </c>
      <c r="B48" s="68">
        <v>4.9642617021233008E-2</v>
      </c>
      <c r="C48" s="8" t="s">
        <v>89</v>
      </c>
      <c r="D48" s="18">
        <f>DATE(1995,11,17)</f>
        <v>35020</v>
      </c>
      <c r="E48" s="18">
        <f>DATE(2025,11,1)</f>
        <v>45962</v>
      </c>
      <c r="F48" s="59">
        <f t="shared" si="53"/>
        <v>29.955555555555556</v>
      </c>
      <c r="G48" s="1">
        <v>5300000</v>
      </c>
      <c r="H48" s="67">
        <v>5300000</v>
      </c>
      <c r="I48" s="1">
        <f>(-4020.01-32463.14-26670.88-14633.18-53933.24-322.71)</f>
        <v>-132043.15999999997</v>
      </c>
      <c r="J48" s="1">
        <v>0</v>
      </c>
      <c r="K48" s="1">
        <f t="shared" si="54"/>
        <v>5167956.84</v>
      </c>
      <c r="L48" s="60">
        <f t="shared" si="55"/>
        <v>97.508619622641504</v>
      </c>
      <c r="M48" s="61">
        <f t="shared" si="56"/>
        <v>5.1270000000000003E-2</v>
      </c>
      <c r="N48" s="12">
        <f t="shared" si="57"/>
        <v>271731</v>
      </c>
      <c r="O48" s="75">
        <f t="shared" si="51"/>
        <v>38</v>
      </c>
    </row>
    <row r="49" spans="1:15">
      <c r="A49" s="25">
        <f t="shared" si="52"/>
        <v>39</v>
      </c>
      <c r="B49" s="68">
        <v>5.068076853066697E-2</v>
      </c>
      <c r="C49" s="8" t="s">
        <v>90</v>
      </c>
      <c r="D49" s="18">
        <f>DATE(1995,11,17)</f>
        <v>35020</v>
      </c>
      <c r="E49" s="18">
        <f>DATE(2025,11,1)</f>
        <v>45962</v>
      </c>
      <c r="F49" s="59">
        <f t="shared" si="53"/>
        <v>29.955555555555556</v>
      </c>
      <c r="G49" s="1">
        <v>22000000</v>
      </c>
      <c r="H49" s="67">
        <v>22000000</v>
      </c>
      <c r="I49" s="1">
        <f>(-9071.1-129640.11-189217.86-14682.77-4950-56377.22-322.71)</f>
        <v>-404261.76999999996</v>
      </c>
      <c r="J49" s="1">
        <v>0</v>
      </c>
      <c r="K49" s="1">
        <f t="shared" si="54"/>
        <v>21595738.23</v>
      </c>
      <c r="L49" s="60">
        <f t="shared" si="55"/>
        <v>98.162446500000001</v>
      </c>
      <c r="M49" s="61">
        <f t="shared" si="56"/>
        <v>5.1889999999999999E-2</v>
      </c>
      <c r="N49" s="12">
        <f t="shared" si="57"/>
        <v>1141580</v>
      </c>
      <c r="O49" s="75">
        <f t="shared" si="51"/>
        <v>39</v>
      </c>
    </row>
    <row r="50" spans="1:15">
      <c r="A50" s="25">
        <f t="shared" si="52"/>
        <v>40</v>
      </c>
      <c r="B50" s="62">
        <f>SUMPRODUCT(B44:B49,H44:H49)/H50</f>
        <v>5.0119240008917001E-2</v>
      </c>
      <c r="C50" s="16" t="s">
        <v>91</v>
      </c>
      <c r="D50" s="18"/>
      <c r="E50" s="18"/>
      <c r="F50" s="63">
        <f>SUMPRODUCT(F44:F49,H44:H49)/H50</f>
        <v>29.955555555555556</v>
      </c>
      <c r="H50" s="16">
        <f>SUM(H44:H49)</f>
        <v>160460000</v>
      </c>
      <c r="I50" s="16">
        <f>SUM(I44:I49)</f>
        <v>-4070193.2499999995</v>
      </c>
      <c r="J50" s="16">
        <f>SUM(J44:J49)</f>
        <v>-1745495.2000000002</v>
      </c>
      <c r="K50" s="16">
        <f>SUM(K44:K49)</f>
        <v>154644311.55000001</v>
      </c>
      <c r="L50" s="61"/>
      <c r="M50" s="65">
        <f>N50/H50</f>
        <v>5.2526998628941786E-2</v>
      </c>
      <c r="N50" s="16">
        <f>SUM(N44:N49)</f>
        <v>8428482.1999999993</v>
      </c>
      <c r="O50" s="75">
        <f t="shared" si="51"/>
        <v>40</v>
      </c>
    </row>
    <row r="51" spans="1:15">
      <c r="A51" s="25">
        <f t="shared" si="52"/>
        <v>41</v>
      </c>
      <c r="D51" s="18"/>
      <c r="E51" s="18"/>
      <c r="F51" s="59"/>
      <c r="H51" s="11"/>
      <c r="I51" s="12"/>
      <c r="K51" s="12"/>
      <c r="L51" s="61"/>
      <c r="M51" s="61"/>
      <c r="N51" s="12"/>
      <c r="O51" s="75">
        <f t="shared" si="51"/>
        <v>41</v>
      </c>
    </row>
    <row r="52" spans="1:15">
      <c r="A52" s="25">
        <f t="shared" si="52"/>
        <v>42</v>
      </c>
      <c r="B52" s="68">
        <v>5.068076853066697E-2</v>
      </c>
      <c r="C52" s="1" t="s">
        <v>92</v>
      </c>
      <c r="D52" s="18">
        <f>DATE(1995,12,14)</f>
        <v>35047</v>
      </c>
      <c r="E52" s="18">
        <f>DATE(2025,11,1)</f>
        <v>45962</v>
      </c>
      <c r="F52" s="59">
        <f t="shared" ref="F52" si="59">YEARFRAC(D52,E52)</f>
        <v>29.880555555555556</v>
      </c>
      <c r="G52" s="1">
        <v>24400000</v>
      </c>
      <c r="H52" s="67">
        <v>24400000</v>
      </c>
      <c r="I52" s="1">
        <f>-19002.27-120150.79-10722.63-6607.3-58895.72-9621.24</f>
        <v>-224999.94999999998</v>
      </c>
      <c r="J52" s="1">
        <f>(-428469.14)</f>
        <v>-428469.14</v>
      </c>
      <c r="K52" s="1">
        <f t="shared" ref="K52" si="60">SUM(H52:J52)</f>
        <v>23746530.91</v>
      </c>
      <c r="L52" s="60">
        <f t="shared" ref="L52" si="61">K52/H52*100</f>
        <v>97.321847991803281</v>
      </c>
      <c r="M52" s="61">
        <f>ROUND(YIELD(D52,E52,B52,L52,100,4,1),5)</f>
        <v>5.246E-2</v>
      </c>
      <c r="N52" s="12">
        <f t="shared" ref="N52" si="62">ROUND(M52,5)*H52</f>
        <v>1280024</v>
      </c>
      <c r="O52" s="75">
        <f t="shared" si="51"/>
        <v>42</v>
      </c>
    </row>
    <row r="53" spans="1:15">
      <c r="A53" s="25">
        <f t="shared" si="52"/>
        <v>43</v>
      </c>
      <c r="B53" s="62">
        <f>SUMPRODUCT(B52:B52,H52:H52)/H53</f>
        <v>5.068076853066697E-2</v>
      </c>
      <c r="C53" s="16" t="s">
        <v>93</v>
      </c>
      <c r="D53" s="18"/>
      <c r="E53" s="18"/>
      <c r="F53" s="63">
        <f>SUMPRODUCT(F52:F52,H52:H52)/H53</f>
        <v>29.880555555555556</v>
      </c>
      <c r="H53" s="16">
        <f>SUM(H52:H52)</f>
        <v>24400000</v>
      </c>
      <c r="I53" s="16">
        <f>SUM(I52:I52)</f>
        <v>-224999.94999999998</v>
      </c>
      <c r="J53" s="16">
        <f>SUM(J52:J52)</f>
        <v>-428469.14</v>
      </c>
      <c r="K53" s="16">
        <f>SUM(K52:K52)</f>
        <v>23746530.91</v>
      </c>
      <c r="L53" s="61"/>
      <c r="M53" s="65">
        <f>N53/H53</f>
        <v>5.246E-2</v>
      </c>
      <c r="N53" s="16">
        <f>SUM(N52:N52)</f>
        <v>1280024</v>
      </c>
      <c r="O53" s="75">
        <f t="shared" si="51"/>
        <v>43</v>
      </c>
    </row>
    <row r="54" spans="1:15">
      <c r="A54" s="25">
        <f t="shared" si="52"/>
        <v>44</v>
      </c>
      <c r="D54" s="18"/>
      <c r="E54" s="18"/>
      <c r="F54" s="59"/>
      <c r="H54" s="11"/>
      <c r="I54" s="12"/>
      <c r="K54" s="12"/>
      <c r="L54" s="61"/>
      <c r="M54" s="61"/>
      <c r="N54" s="12"/>
      <c r="O54" s="75">
        <f t="shared" si="51"/>
        <v>44</v>
      </c>
    </row>
    <row r="55" spans="1:15">
      <c r="A55" s="25">
        <f t="shared" si="52"/>
        <v>45</v>
      </c>
      <c r="B55" s="62">
        <f>(B50*H50+B53*H53)/H55</f>
        <v>5.0193357156654204E-2</v>
      </c>
      <c r="C55" s="16" t="s">
        <v>94</v>
      </c>
      <c r="D55" s="18"/>
      <c r="E55" s="18"/>
      <c r="F55" s="63">
        <f>(F50*H50+F53*H53)/H55</f>
        <v>29.945656172238451</v>
      </c>
      <c r="H55" s="16">
        <f>H50+H53</f>
        <v>184860000</v>
      </c>
      <c r="I55" s="16">
        <f>I50+I53</f>
        <v>-4295193.1999999993</v>
      </c>
      <c r="J55" s="16">
        <f>J50+J53</f>
        <v>-2173964.3400000003</v>
      </c>
      <c r="K55" s="16">
        <f>K50+K53</f>
        <v>178390842.46000001</v>
      </c>
      <c r="L55" s="61"/>
      <c r="M55" s="65">
        <f>N55/H55</f>
        <v>5.2518155360813584E-2</v>
      </c>
      <c r="N55" s="16">
        <f>N50+N53</f>
        <v>9708506.1999999993</v>
      </c>
      <c r="O55" s="75">
        <f t="shared" si="51"/>
        <v>45</v>
      </c>
    </row>
    <row r="56" spans="1:15">
      <c r="A56" s="25">
        <f t="shared" si="52"/>
        <v>46</v>
      </c>
      <c r="B56" s="62"/>
      <c r="C56" s="16"/>
      <c r="D56" s="18"/>
      <c r="E56" s="18"/>
      <c r="F56" s="63"/>
      <c r="H56" s="16"/>
      <c r="I56" s="16"/>
      <c r="J56" s="16"/>
      <c r="K56" s="16"/>
      <c r="L56" s="61"/>
      <c r="M56" s="65"/>
      <c r="N56" s="16"/>
      <c r="O56" s="75">
        <f t="shared" si="51"/>
        <v>46</v>
      </c>
    </row>
    <row r="57" spans="1:15">
      <c r="A57" s="25">
        <f t="shared" si="52"/>
        <v>47</v>
      </c>
      <c r="B57" s="62"/>
      <c r="C57" s="16"/>
      <c r="D57" s="21" t="s">
        <v>95</v>
      </c>
      <c r="E57" s="21" t="s">
        <v>96</v>
      </c>
      <c r="F57" s="63"/>
      <c r="H57" s="16"/>
      <c r="I57" s="16"/>
      <c r="J57" s="16"/>
      <c r="K57" s="16"/>
      <c r="L57" s="61"/>
      <c r="M57" s="65"/>
      <c r="N57" s="16"/>
      <c r="O57" s="75">
        <f t="shared" si="51"/>
        <v>47</v>
      </c>
    </row>
    <row r="58" spans="1:15">
      <c r="A58" s="25">
        <f t="shared" si="52"/>
        <v>48</v>
      </c>
      <c r="B58" s="62"/>
      <c r="C58" s="16"/>
      <c r="D58" s="21" t="s">
        <v>41</v>
      </c>
      <c r="E58" s="21" t="s">
        <v>41</v>
      </c>
      <c r="F58" s="63"/>
      <c r="H58" s="16"/>
      <c r="I58" s="16"/>
      <c r="J58" s="16"/>
      <c r="K58" s="16"/>
      <c r="L58" s="61"/>
      <c r="M58" s="65"/>
      <c r="N58" s="16"/>
      <c r="O58" s="75">
        <f t="shared" si="51"/>
        <v>48</v>
      </c>
    </row>
    <row r="59" spans="1:15">
      <c r="A59" s="25">
        <f t="shared" si="52"/>
        <v>49</v>
      </c>
      <c r="B59" s="62"/>
      <c r="C59" s="54" t="s">
        <v>97</v>
      </c>
      <c r="D59" s="18">
        <f>DATE(2000,11,17)</f>
        <v>36847</v>
      </c>
      <c r="E59" s="18">
        <f>DATE(2035,6,30)</f>
        <v>49490</v>
      </c>
      <c r="F59" s="63"/>
      <c r="H59" s="16"/>
      <c r="I59" s="16"/>
      <c r="J59" s="16"/>
      <c r="K59" s="16"/>
      <c r="L59" s="61"/>
      <c r="M59" s="65"/>
      <c r="N59" s="12">
        <f>107887.08</f>
        <v>107887.08</v>
      </c>
      <c r="O59" s="75">
        <f t="shared" si="51"/>
        <v>49</v>
      </c>
    </row>
    <row r="60" spans="1:15">
      <c r="A60" s="25">
        <f t="shared" si="52"/>
        <v>50</v>
      </c>
      <c r="B60" s="62"/>
      <c r="C60" s="54" t="s">
        <v>98</v>
      </c>
      <c r="D60" s="18">
        <f>DATE(2000,11,17)</f>
        <v>36847</v>
      </c>
      <c r="E60" s="18">
        <f>DATE(2025,12,31)</f>
        <v>46022</v>
      </c>
      <c r="F60" s="63"/>
      <c r="H60" s="16"/>
      <c r="I60" s="16"/>
      <c r="J60" s="16"/>
      <c r="K60" s="16"/>
      <c r="L60" s="61"/>
      <c r="M60" s="65"/>
      <c r="N60" s="12">
        <v>84083.82</v>
      </c>
      <c r="O60" s="75">
        <f t="shared" si="51"/>
        <v>50</v>
      </c>
    </row>
    <row r="61" spans="1:15">
      <c r="A61" s="25">
        <f t="shared" si="52"/>
        <v>51</v>
      </c>
      <c r="B61" s="62"/>
      <c r="C61" s="8" t="s">
        <v>99</v>
      </c>
      <c r="D61" s="18">
        <f>DATE(2016,2,18)</f>
        <v>42418</v>
      </c>
      <c r="E61" s="18">
        <f>DATE(2024,11,1)</f>
        <v>45597</v>
      </c>
      <c r="F61" s="63"/>
      <c r="H61" s="16"/>
      <c r="I61" s="16"/>
      <c r="J61" s="16"/>
      <c r="K61" s="16"/>
      <c r="L61" s="61"/>
      <c r="M61" s="65"/>
      <c r="N61" s="12">
        <f>(920.81*12+175.45*12)*4/5</f>
        <v>10524.096</v>
      </c>
      <c r="O61" s="75">
        <f t="shared" si="51"/>
        <v>51</v>
      </c>
    </row>
    <row r="62" spans="1:15">
      <c r="A62" s="25">
        <f t="shared" si="52"/>
        <v>52</v>
      </c>
      <c r="B62" s="62"/>
      <c r="C62" s="16" t="s">
        <v>100</v>
      </c>
      <c r="D62" s="18"/>
      <c r="E62" s="18"/>
      <c r="F62" s="63"/>
      <c r="H62" s="16"/>
      <c r="I62" s="16"/>
      <c r="J62" s="16"/>
      <c r="K62" s="16"/>
      <c r="L62" s="61"/>
      <c r="M62" s="65"/>
      <c r="N62" s="16">
        <f>SUM(N59:N61)</f>
        <v>202494.99600000001</v>
      </c>
      <c r="O62" s="75">
        <f t="shared" si="51"/>
        <v>52</v>
      </c>
    </row>
    <row r="63" spans="1:15">
      <c r="A63" s="25">
        <f t="shared" si="52"/>
        <v>53</v>
      </c>
      <c r="D63" s="18"/>
      <c r="E63" s="18"/>
      <c r="F63" s="59"/>
      <c r="H63" s="11"/>
      <c r="I63" s="12"/>
      <c r="K63" s="12"/>
      <c r="L63" s="61"/>
      <c r="M63" s="61"/>
      <c r="N63" s="12"/>
      <c r="O63" s="75">
        <f t="shared" si="51"/>
        <v>53</v>
      </c>
    </row>
    <row r="64" spans="1:15">
      <c r="A64" s="25">
        <f>A63+1</f>
        <v>54</v>
      </c>
      <c r="B64" s="69">
        <f>(B41*H41+B55*H55)/H64</f>
        <v>4.9873969525082114E-2</v>
      </c>
      <c r="C64" s="16" t="s">
        <v>101</v>
      </c>
      <c r="D64" s="18"/>
      <c r="E64" s="18"/>
      <c r="F64" s="63">
        <f>(F41*H41+F55*H55)/H64</f>
        <v>25.58957702166056</v>
      </c>
      <c r="H64" s="16">
        <f>H41+H55</f>
        <v>13244860000</v>
      </c>
      <c r="I64" s="16">
        <f>I41+I55</f>
        <v>-152678340.67400002</v>
      </c>
      <c r="J64" s="16">
        <f>J41+J55</f>
        <v>-4247189.3480000002</v>
      </c>
      <c r="K64" s="16">
        <f>K41+K55</f>
        <v>13087934469.978001</v>
      </c>
      <c r="L64" s="61"/>
      <c r="M64" s="65">
        <f>N64/H64</f>
        <v>5.0787951038818085E-2</v>
      </c>
      <c r="N64" s="64">
        <f>N41+N55+N62</f>
        <v>672679301.1960001</v>
      </c>
      <c r="O64" s="75">
        <f t="shared" si="51"/>
        <v>54</v>
      </c>
    </row>
    <row r="65" spans="1:15">
      <c r="A65" s="29">
        <f>A64+1</f>
        <v>55</v>
      </c>
      <c r="B65" s="70"/>
      <c r="C65" s="14"/>
      <c r="D65" s="71"/>
      <c r="E65" s="71"/>
      <c r="F65" s="72"/>
      <c r="G65" s="14"/>
      <c r="H65" s="19"/>
      <c r="I65" s="20"/>
      <c r="J65" s="14"/>
      <c r="K65" s="20"/>
      <c r="L65" s="73"/>
      <c r="M65" s="73"/>
      <c r="N65" s="20"/>
      <c r="O65" s="76">
        <f t="shared" si="51"/>
        <v>55</v>
      </c>
    </row>
    <row r="66" spans="1:15">
      <c r="D66" s="18"/>
      <c r="E66" s="18"/>
      <c r="F66" s="59"/>
      <c r="H66" s="11"/>
      <c r="I66" s="12"/>
      <c r="K66" s="12"/>
      <c r="L66" s="61"/>
      <c r="M66" s="61"/>
      <c r="N66" s="12"/>
    </row>
    <row r="67" spans="1:15">
      <c r="D67" s="18"/>
      <c r="E67" s="18"/>
      <c r="F67" s="59"/>
      <c r="H67" s="11"/>
      <c r="I67" s="12"/>
      <c r="K67" s="12"/>
      <c r="L67" s="61"/>
      <c r="M67" s="61"/>
      <c r="N67" s="12"/>
    </row>
    <row r="68" spans="1:15">
      <c r="A68" s="8"/>
      <c r="B68" s="8"/>
      <c r="D68" s="18"/>
      <c r="E68" s="18"/>
      <c r="F68" s="59"/>
      <c r="H68" s="11"/>
      <c r="I68" s="12"/>
      <c r="K68" s="12"/>
      <c r="L68" s="61"/>
      <c r="M68" s="61"/>
      <c r="N68" s="12"/>
    </row>
    <row r="69" spans="1:15">
      <c r="A69" s="8"/>
      <c r="B69" s="8"/>
      <c r="D69" s="18"/>
      <c r="E69" s="18"/>
      <c r="F69" s="59"/>
      <c r="H69" s="11"/>
      <c r="I69" s="12"/>
      <c r="K69" s="12"/>
      <c r="L69" s="61"/>
      <c r="M69" s="61"/>
      <c r="N69" s="12"/>
    </row>
    <row r="70" spans="1:15">
      <c r="A70" s="8"/>
      <c r="B70" s="8"/>
      <c r="D70" s="18"/>
      <c r="E70" s="18"/>
      <c r="F70" s="59"/>
      <c r="H70" s="11"/>
      <c r="I70" s="12"/>
      <c r="K70" s="12"/>
      <c r="L70" s="61"/>
      <c r="M70" s="61"/>
      <c r="N70" s="12"/>
    </row>
    <row r="71" spans="1:15">
      <c r="A71" s="8"/>
      <c r="B71" s="8"/>
      <c r="D71" s="18"/>
      <c r="E71" s="18"/>
      <c r="F71" s="59"/>
      <c r="H71" s="11"/>
      <c r="I71" s="12"/>
      <c r="K71" s="12"/>
      <c r="L71" s="61"/>
      <c r="M71" s="61"/>
      <c r="N71" s="12"/>
    </row>
    <row r="72" spans="1:15">
      <c r="A72" s="8"/>
      <c r="B72" s="8"/>
      <c r="D72" s="18"/>
      <c r="E72" s="18"/>
      <c r="F72" s="59"/>
      <c r="H72" s="11"/>
      <c r="I72" s="12"/>
      <c r="K72" s="12"/>
      <c r="L72" s="61"/>
      <c r="M72" s="61"/>
      <c r="N72" s="12"/>
    </row>
    <row r="73" spans="1:15">
      <c r="A73" s="8"/>
      <c r="B73" s="8"/>
      <c r="D73" s="18"/>
      <c r="E73" s="18"/>
      <c r="F73" s="59"/>
      <c r="H73" s="11"/>
      <c r="I73" s="12"/>
      <c r="K73" s="12"/>
      <c r="L73" s="61"/>
      <c r="M73" s="61"/>
      <c r="N73" s="12"/>
    </row>
    <row r="74" spans="1:15">
      <c r="A74" s="8"/>
      <c r="B74" s="8"/>
      <c r="D74" s="18"/>
      <c r="E74" s="18"/>
      <c r="F74" s="59"/>
      <c r="H74" s="11"/>
      <c r="I74" s="12"/>
      <c r="K74" s="12"/>
      <c r="L74" s="61"/>
      <c r="M74" s="61"/>
      <c r="N74" s="12"/>
    </row>
    <row r="75" spans="1:15">
      <c r="A75" s="8"/>
      <c r="B75" s="8"/>
      <c r="D75" s="18"/>
      <c r="E75" s="18"/>
      <c r="F75" s="59"/>
      <c r="H75" s="11"/>
      <c r="I75" s="12"/>
      <c r="K75" s="12"/>
      <c r="L75" s="61"/>
      <c r="M75" s="61"/>
      <c r="N75" s="12"/>
    </row>
    <row r="76" spans="1:15">
      <c r="A76" s="8"/>
      <c r="B76" s="8"/>
      <c r="D76" s="18"/>
      <c r="E76" s="18"/>
      <c r="F76" s="59"/>
      <c r="H76" s="11"/>
      <c r="I76" s="12"/>
      <c r="K76" s="12"/>
      <c r="L76" s="61"/>
      <c r="M76" s="61"/>
      <c r="N76" s="12"/>
    </row>
    <row r="77" spans="1:15">
      <c r="A77" s="8"/>
      <c r="B77" s="8"/>
      <c r="D77" s="18"/>
      <c r="E77" s="18"/>
      <c r="F77" s="59"/>
      <c r="H77" s="11"/>
      <c r="I77" s="12"/>
      <c r="K77" s="12"/>
      <c r="L77" s="61"/>
      <c r="M77" s="61"/>
      <c r="N77" s="12"/>
    </row>
    <row r="78" spans="1:15">
      <c r="A78" s="8"/>
      <c r="B78" s="8"/>
      <c r="D78" s="18"/>
      <c r="E78" s="18"/>
      <c r="F78" s="59"/>
      <c r="H78" s="11"/>
      <c r="I78" s="12"/>
      <c r="K78" s="12"/>
      <c r="L78" s="61"/>
      <c r="M78" s="61"/>
      <c r="N78" s="12"/>
    </row>
    <row r="79" spans="1:15">
      <c r="A79" s="8"/>
      <c r="B79" s="8"/>
      <c r="D79" s="18"/>
      <c r="E79" s="18"/>
      <c r="F79" s="59"/>
      <c r="H79" s="11"/>
      <c r="I79" s="12"/>
      <c r="K79" s="12"/>
      <c r="L79" s="61"/>
      <c r="M79" s="61"/>
      <c r="N79" s="12"/>
    </row>
    <row r="80" spans="1:15">
      <c r="A80" s="8"/>
      <c r="B80" s="8"/>
      <c r="D80" s="18"/>
      <c r="E80" s="18"/>
      <c r="F80" s="59"/>
      <c r="H80" s="11"/>
      <c r="I80" s="12"/>
      <c r="K80" s="12"/>
      <c r="L80" s="61"/>
      <c r="M80" s="61"/>
      <c r="N80" s="12"/>
    </row>
    <row r="81" spans="1:14">
      <c r="A81" s="8"/>
      <c r="B81" s="8"/>
      <c r="D81" s="18"/>
      <c r="E81" s="18"/>
      <c r="F81" s="59"/>
      <c r="H81" s="11"/>
      <c r="I81" s="12"/>
      <c r="K81" s="12"/>
      <c r="L81" s="61"/>
      <c r="M81" s="61"/>
      <c r="N81" s="12"/>
    </row>
    <row r="82" spans="1:14">
      <c r="A82" s="8"/>
      <c r="B82" s="8"/>
      <c r="D82" s="18"/>
      <c r="E82" s="18"/>
      <c r="F82" s="59"/>
      <c r="H82" s="11"/>
      <c r="I82" s="12"/>
      <c r="K82" s="12"/>
      <c r="L82" s="61"/>
      <c r="M82" s="61"/>
      <c r="N82" s="12"/>
    </row>
    <row r="83" spans="1:14">
      <c r="A83" s="8"/>
      <c r="B83" s="8"/>
      <c r="D83" s="18"/>
      <c r="E83" s="18"/>
      <c r="F83" s="59"/>
      <c r="H83" s="11"/>
      <c r="I83" s="12"/>
      <c r="K83" s="12"/>
      <c r="L83" s="61"/>
      <c r="M83" s="61"/>
      <c r="N83" s="12"/>
    </row>
    <row r="84" spans="1:14">
      <c r="A84" s="8"/>
      <c r="B84" s="8"/>
      <c r="D84" s="18"/>
      <c r="E84" s="18"/>
      <c r="F84" s="59"/>
      <c r="H84" s="11"/>
      <c r="I84" s="12"/>
      <c r="K84" s="12"/>
      <c r="L84" s="61"/>
      <c r="M84" s="61"/>
      <c r="N84" s="12"/>
    </row>
    <row r="85" spans="1:14">
      <c r="A85" s="8"/>
      <c r="B85" s="8"/>
      <c r="D85" s="18"/>
      <c r="E85" s="18"/>
      <c r="F85" s="59"/>
      <c r="H85" s="11"/>
      <c r="I85" s="12"/>
      <c r="K85" s="12"/>
      <c r="L85" s="61"/>
      <c r="M85" s="61"/>
      <c r="N85" s="12"/>
    </row>
    <row r="86" spans="1:14">
      <c r="A86" s="8"/>
      <c r="B86" s="8"/>
      <c r="D86" s="18"/>
      <c r="E86" s="18"/>
      <c r="F86" s="59"/>
      <c r="H86" s="11"/>
      <c r="I86" s="12"/>
      <c r="K86" s="12"/>
      <c r="L86" s="61"/>
      <c r="M86" s="61"/>
      <c r="N86" s="12"/>
    </row>
    <row r="87" spans="1:14">
      <c r="A87" s="8"/>
      <c r="B87" s="8"/>
      <c r="D87" s="18"/>
      <c r="E87" s="18"/>
      <c r="F87" s="59"/>
      <c r="H87" s="11"/>
      <c r="I87" s="12"/>
      <c r="K87" s="12"/>
      <c r="L87" s="61"/>
      <c r="M87" s="61"/>
      <c r="N87" s="12"/>
    </row>
    <row r="88" spans="1:14">
      <c r="A88" s="8"/>
      <c r="B88" s="8"/>
      <c r="D88" s="18"/>
      <c r="E88" s="18"/>
      <c r="F88" s="59"/>
      <c r="H88" s="11"/>
      <c r="I88" s="12"/>
      <c r="K88" s="12"/>
      <c r="L88" s="61"/>
      <c r="M88" s="61"/>
      <c r="N88" s="12"/>
    </row>
    <row r="89" spans="1:14">
      <c r="A89" s="8"/>
      <c r="B89" s="8"/>
      <c r="D89" s="18"/>
      <c r="E89" s="18"/>
      <c r="F89" s="59"/>
      <c r="H89" s="11"/>
      <c r="I89" s="12"/>
      <c r="K89" s="12"/>
      <c r="L89" s="61"/>
      <c r="M89" s="61"/>
      <c r="N89" s="12"/>
    </row>
    <row r="90" spans="1:14">
      <c r="A90" s="8"/>
      <c r="B90" s="8"/>
      <c r="D90" s="18"/>
      <c r="E90" s="18"/>
      <c r="F90" s="59"/>
      <c r="H90" s="11"/>
      <c r="I90" s="12"/>
      <c r="K90" s="12"/>
      <c r="L90" s="61"/>
      <c r="M90" s="61"/>
      <c r="N90" s="12"/>
    </row>
    <row r="91" spans="1:14">
      <c r="A91" s="8"/>
      <c r="B91" s="8"/>
      <c r="D91" s="18"/>
      <c r="E91" s="18"/>
      <c r="F91" s="59"/>
      <c r="H91" s="11"/>
      <c r="I91" s="12"/>
      <c r="K91" s="12"/>
      <c r="L91" s="61"/>
      <c r="M91" s="61"/>
      <c r="N91" s="12"/>
    </row>
    <row r="92" spans="1:14">
      <c r="A92" s="8"/>
      <c r="B92" s="8"/>
      <c r="D92" s="18"/>
      <c r="E92" s="18"/>
      <c r="F92" s="59"/>
      <c r="H92" s="11"/>
      <c r="I92" s="12"/>
      <c r="K92" s="12"/>
      <c r="L92" s="61"/>
      <c r="M92" s="61"/>
      <c r="N92" s="12"/>
    </row>
    <row r="93" spans="1:14">
      <c r="A93" s="8"/>
      <c r="B93" s="8"/>
      <c r="D93" s="18"/>
      <c r="E93" s="18"/>
      <c r="F93" s="59"/>
      <c r="H93" s="11"/>
      <c r="I93" s="12"/>
      <c r="K93" s="12"/>
      <c r="L93" s="61"/>
      <c r="M93" s="61"/>
      <c r="N93" s="12"/>
    </row>
    <row r="94" spans="1:14">
      <c r="A94" s="8"/>
      <c r="B94" s="8"/>
      <c r="D94" s="18"/>
      <c r="E94" s="18"/>
      <c r="F94" s="59"/>
      <c r="H94" s="11"/>
      <c r="I94" s="12"/>
      <c r="K94" s="12"/>
      <c r="L94" s="61"/>
      <c r="M94" s="61"/>
      <c r="N94" s="12"/>
    </row>
    <row r="95" spans="1:14">
      <c r="A95" s="8"/>
      <c r="B95" s="8"/>
      <c r="D95" s="18"/>
      <c r="E95" s="18"/>
      <c r="F95" s="59"/>
      <c r="H95" s="11"/>
      <c r="I95" s="12"/>
      <c r="K95" s="12"/>
      <c r="L95" s="61"/>
      <c r="M95" s="61"/>
      <c r="N95" s="12"/>
    </row>
    <row r="96" spans="1:14">
      <c r="A96" s="8"/>
      <c r="B96" s="8"/>
      <c r="D96" s="18"/>
      <c r="E96" s="18"/>
      <c r="F96" s="59"/>
      <c r="H96" s="11"/>
      <c r="I96" s="12"/>
      <c r="K96" s="12"/>
      <c r="L96" s="61"/>
      <c r="M96" s="61"/>
      <c r="N96" s="12"/>
    </row>
    <row r="97" spans="1:14">
      <c r="A97" s="8"/>
      <c r="B97" s="8"/>
      <c r="D97" s="18"/>
      <c r="E97" s="18"/>
      <c r="F97" s="59"/>
      <c r="H97" s="11"/>
      <c r="I97" s="12"/>
      <c r="K97" s="12"/>
      <c r="L97" s="61"/>
      <c r="M97" s="61"/>
      <c r="N97" s="12"/>
    </row>
    <row r="98" spans="1:14">
      <c r="A98" s="8"/>
      <c r="B98" s="8"/>
      <c r="D98" s="18"/>
      <c r="E98" s="18"/>
      <c r="F98" s="59"/>
      <c r="H98" s="11"/>
      <c r="I98" s="12"/>
      <c r="K98" s="12"/>
      <c r="L98" s="61"/>
      <c r="M98" s="61"/>
      <c r="N98" s="12"/>
    </row>
    <row r="99" spans="1:14">
      <c r="A99" s="8"/>
      <c r="B99" s="8"/>
      <c r="D99" s="18"/>
      <c r="E99" s="18"/>
      <c r="F99" s="59"/>
      <c r="H99" s="11"/>
      <c r="I99" s="12"/>
      <c r="K99" s="12"/>
      <c r="L99" s="61"/>
      <c r="M99" s="61"/>
      <c r="N99" s="12"/>
    </row>
    <row r="100" spans="1:14">
      <c r="A100" s="8"/>
      <c r="B100" s="8"/>
      <c r="D100" s="18"/>
      <c r="E100" s="18"/>
      <c r="F100" s="59"/>
      <c r="H100" s="11"/>
      <c r="I100" s="12"/>
      <c r="K100" s="12"/>
      <c r="L100" s="61"/>
      <c r="M100" s="61"/>
      <c r="N100" s="12"/>
    </row>
    <row r="101" spans="1:14">
      <c r="A101" s="8"/>
      <c r="B101" s="8"/>
      <c r="D101" s="18"/>
      <c r="E101" s="18"/>
      <c r="F101" s="59"/>
      <c r="H101" s="11"/>
      <c r="I101" s="12"/>
      <c r="K101" s="12"/>
      <c r="L101" s="61"/>
      <c r="M101" s="61"/>
      <c r="N101" s="12"/>
    </row>
    <row r="102" spans="1:14">
      <c r="A102" s="8"/>
      <c r="B102" s="8"/>
      <c r="D102" s="18"/>
      <c r="E102" s="18"/>
      <c r="F102" s="59"/>
      <c r="H102" s="11"/>
      <c r="I102" s="12"/>
      <c r="K102" s="12"/>
      <c r="L102" s="61"/>
      <c r="M102" s="61"/>
      <c r="N102" s="12"/>
    </row>
    <row r="103" spans="1:14">
      <c r="A103" s="8"/>
      <c r="B103" s="8"/>
      <c r="D103" s="18"/>
      <c r="E103" s="18"/>
      <c r="F103" s="59"/>
      <c r="H103" s="11"/>
      <c r="I103" s="12"/>
      <c r="K103" s="12"/>
      <c r="L103" s="61"/>
      <c r="M103" s="61"/>
      <c r="N103" s="12"/>
    </row>
    <row r="104" spans="1:14">
      <c r="A104" s="8"/>
      <c r="B104" s="8"/>
      <c r="D104" s="18"/>
      <c r="E104" s="18"/>
      <c r="F104" s="59"/>
      <c r="H104" s="11"/>
      <c r="I104" s="12"/>
      <c r="K104" s="12"/>
      <c r="L104" s="61"/>
      <c r="M104" s="61"/>
      <c r="N104" s="12"/>
    </row>
    <row r="105" spans="1:14">
      <c r="A105" s="8"/>
      <c r="B105" s="8"/>
      <c r="D105" s="18"/>
      <c r="E105" s="18"/>
      <c r="F105" s="59"/>
      <c r="H105" s="11"/>
      <c r="I105" s="12"/>
      <c r="K105" s="12"/>
      <c r="L105" s="61"/>
      <c r="M105" s="61"/>
      <c r="N105" s="12"/>
    </row>
    <row r="106" spans="1:14">
      <c r="A106" s="8"/>
      <c r="B106" s="8"/>
      <c r="D106" s="18"/>
      <c r="E106" s="18"/>
      <c r="F106" s="59"/>
      <c r="H106" s="11"/>
      <c r="I106" s="12"/>
      <c r="K106" s="12"/>
      <c r="L106" s="61"/>
      <c r="M106" s="61"/>
      <c r="N106" s="12"/>
    </row>
    <row r="107" spans="1:14">
      <c r="A107" s="8"/>
      <c r="B107" s="8"/>
      <c r="D107" s="18"/>
      <c r="E107" s="18"/>
      <c r="F107" s="59"/>
      <c r="H107" s="11"/>
      <c r="I107" s="12"/>
      <c r="K107" s="12"/>
      <c r="L107" s="61"/>
      <c r="M107" s="61"/>
      <c r="N107" s="12"/>
    </row>
    <row r="108" spans="1:14">
      <c r="A108" s="8"/>
      <c r="B108" s="8"/>
      <c r="D108" s="18"/>
      <c r="E108" s="18"/>
      <c r="F108" s="59"/>
      <c r="H108" s="11"/>
      <c r="I108" s="12"/>
      <c r="K108" s="12"/>
      <c r="L108" s="61"/>
      <c r="M108" s="61"/>
      <c r="N108" s="12"/>
    </row>
    <row r="109" spans="1:14">
      <c r="A109" s="8"/>
      <c r="B109" s="8"/>
      <c r="D109" s="18"/>
      <c r="E109" s="18"/>
      <c r="F109" s="59"/>
      <c r="H109" s="11"/>
      <c r="I109" s="12"/>
      <c r="K109" s="12"/>
      <c r="L109" s="61"/>
      <c r="M109" s="61"/>
      <c r="N109" s="12"/>
    </row>
    <row r="110" spans="1:14">
      <c r="A110" s="8"/>
      <c r="B110" s="8"/>
      <c r="D110" s="18"/>
      <c r="E110" s="18"/>
      <c r="F110" s="59"/>
      <c r="H110" s="11"/>
      <c r="I110" s="12"/>
      <c r="K110" s="12"/>
      <c r="L110" s="61"/>
      <c r="M110" s="61"/>
      <c r="N110" s="12"/>
    </row>
    <row r="111" spans="1:14">
      <c r="A111" s="8"/>
      <c r="B111" s="8"/>
      <c r="D111" s="18"/>
      <c r="E111" s="18"/>
      <c r="F111" s="59"/>
      <c r="H111" s="11"/>
      <c r="I111" s="12"/>
      <c r="K111" s="12"/>
      <c r="L111" s="61"/>
      <c r="M111" s="61"/>
      <c r="N111" s="12"/>
    </row>
    <row r="112" spans="1:14">
      <c r="A112" s="8"/>
      <c r="B112" s="8"/>
      <c r="D112" s="18"/>
      <c r="E112" s="18"/>
      <c r="F112" s="59"/>
      <c r="H112" s="11"/>
      <c r="I112" s="12"/>
      <c r="K112" s="12"/>
      <c r="L112" s="61"/>
      <c r="M112" s="61"/>
      <c r="N112" s="12"/>
    </row>
    <row r="113" spans="1:14">
      <c r="A113" s="8"/>
      <c r="B113" s="8"/>
      <c r="D113" s="18"/>
      <c r="E113" s="18"/>
      <c r="F113" s="59"/>
      <c r="H113" s="11"/>
      <c r="I113" s="12"/>
      <c r="K113" s="12"/>
      <c r="L113" s="61"/>
      <c r="M113" s="61"/>
      <c r="N113" s="12"/>
    </row>
    <row r="114" spans="1:14">
      <c r="A114" s="8"/>
      <c r="B114" s="8"/>
      <c r="D114" s="18"/>
      <c r="E114" s="18"/>
      <c r="F114" s="59"/>
      <c r="H114" s="11"/>
      <c r="I114" s="12"/>
      <c r="K114" s="12"/>
      <c r="L114" s="61"/>
      <c r="M114" s="61"/>
      <c r="N114" s="12"/>
    </row>
    <row r="115" spans="1:14">
      <c r="A115" s="8"/>
      <c r="B115" s="8"/>
      <c r="D115" s="18"/>
      <c r="E115" s="18"/>
      <c r="F115" s="59"/>
      <c r="H115" s="11"/>
      <c r="I115" s="12"/>
      <c r="K115" s="12"/>
      <c r="L115" s="61"/>
      <c r="M115" s="61"/>
      <c r="N115" s="12"/>
    </row>
    <row r="116" spans="1:14">
      <c r="A116" s="8"/>
      <c r="B116" s="8"/>
      <c r="D116" s="18"/>
      <c r="E116" s="18"/>
      <c r="F116" s="59"/>
      <c r="H116" s="11"/>
      <c r="I116" s="12"/>
      <c r="K116" s="12"/>
      <c r="L116" s="61"/>
      <c r="M116" s="61"/>
      <c r="N116" s="12"/>
    </row>
    <row r="117" spans="1:14">
      <c r="A117" s="8"/>
      <c r="B117" s="8"/>
      <c r="D117" s="18"/>
      <c r="E117" s="18"/>
      <c r="F117" s="59"/>
      <c r="H117" s="11"/>
      <c r="I117" s="12"/>
      <c r="K117" s="12"/>
      <c r="L117" s="61"/>
      <c r="M117" s="61"/>
      <c r="N117" s="12"/>
    </row>
    <row r="118" spans="1:14">
      <c r="A118" s="8"/>
      <c r="B118" s="8"/>
      <c r="D118" s="18"/>
      <c r="E118" s="18"/>
      <c r="F118" s="59"/>
      <c r="H118" s="11"/>
      <c r="I118" s="12"/>
      <c r="K118" s="12"/>
      <c r="L118" s="61"/>
      <c r="M118" s="61"/>
      <c r="N118" s="12"/>
    </row>
    <row r="119" spans="1:14">
      <c r="A119" s="8"/>
      <c r="B119" s="8"/>
      <c r="D119" s="18"/>
      <c r="E119" s="18"/>
      <c r="F119" s="59"/>
      <c r="H119" s="11"/>
      <c r="I119" s="12"/>
      <c r="K119" s="12"/>
      <c r="L119" s="61"/>
      <c r="M119" s="61"/>
      <c r="N119" s="12"/>
    </row>
    <row r="120" spans="1:14">
      <c r="A120" s="8"/>
      <c r="B120" s="8"/>
      <c r="D120" s="18"/>
      <c r="E120" s="18"/>
      <c r="F120" s="59"/>
      <c r="H120" s="11"/>
      <c r="I120" s="12"/>
      <c r="K120" s="12"/>
      <c r="L120" s="61"/>
      <c r="M120" s="61"/>
      <c r="N120" s="12"/>
    </row>
    <row r="121" spans="1:14">
      <c r="A121" s="8"/>
      <c r="B121" s="8"/>
      <c r="D121" s="18"/>
      <c r="E121" s="18"/>
      <c r="F121" s="59"/>
      <c r="H121" s="11"/>
      <c r="I121" s="12"/>
      <c r="K121" s="12"/>
      <c r="L121" s="61"/>
      <c r="M121" s="61"/>
      <c r="N121" s="12"/>
    </row>
    <row r="122" spans="1:14">
      <c r="A122" s="8"/>
      <c r="B122" s="8"/>
      <c r="D122" s="18"/>
      <c r="E122" s="18"/>
      <c r="F122" s="59"/>
      <c r="H122" s="11"/>
      <c r="I122" s="12"/>
      <c r="K122" s="12"/>
      <c r="L122" s="61"/>
      <c r="M122" s="61"/>
      <c r="N122" s="12"/>
    </row>
    <row r="123" spans="1:14">
      <c r="A123" s="8"/>
      <c r="B123" s="8"/>
      <c r="D123" s="18"/>
      <c r="E123" s="18"/>
      <c r="F123" s="59"/>
      <c r="H123" s="11"/>
      <c r="I123" s="12"/>
      <c r="K123" s="12"/>
      <c r="L123" s="61"/>
      <c r="M123" s="61"/>
      <c r="N123" s="12"/>
    </row>
    <row r="124" spans="1:14">
      <c r="A124" s="8"/>
      <c r="B124" s="8"/>
      <c r="D124" s="18"/>
      <c r="E124" s="18"/>
      <c r="F124" s="59"/>
      <c r="H124" s="11"/>
      <c r="I124" s="12"/>
      <c r="K124" s="12"/>
      <c r="L124" s="61"/>
      <c r="M124" s="61"/>
      <c r="N124" s="12"/>
    </row>
    <row r="125" spans="1:14">
      <c r="A125" s="8"/>
      <c r="B125" s="8"/>
      <c r="D125" s="18"/>
      <c r="E125" s="18"/>
      <c r="F125" s="59"/>
      <c r="H125" s="11"/>
      <c r="I125" s="12"/>
      <c r="K125" s="12"/>
      <c r="L125" s="61"/>
      <c r="M125" s="61"/>
      <c r="N125" s="12"/>
    </row>
    <row r="126" spans="1:14">
      <c r="A126" s="8"/>
      <c r="B126" s="8"/>
      <c r="D126" s="18"/>
      <c r="E126" s="18"/>
      <c r="F126" s="59"/>
      <c r="H126" s="11"/>
      <c r="I126" s="12"/>
      <c r="K126" s="12"/>
      <c r="L126" s="61"/>
      <c r="M126" s="61"/>
      <c r="N126" s="12"/>
    </row>
    <row r="127" spans="1:14">
      <c r="A127" s="8"/>
      <c r="B127" s="8"/>
      <c r="D127" s="18"/>
      <c r="E127" s="18"/>
      <c r="F127" s="59"/>
      <c r="H127" s="11"/>
      <c r="I127" s="12"/>
      <c r="K127" s="12"/>
      <c r="L127" s="61"/>
      <c r="M127" s="61"/>
      <c r="N127" s="12"/>
    </row>
    <row r="128" spans="1:14">
      <c r="A128" s="8"/>
      <c r="B128" s="8"/>
      <c r="D128" s="18"/>
      <c r="E128" s="18"/>
      <c r="F128" s="59"/>
      <c r="H128" s="11"/>
      <c r="I128" s="12"/>
      <c r="K128" s="12"/>
      <c r="L128" s="61"/>
      <c r="M128" s="61"/>
      <c r="N128" s="12"/>
    </row>
    <row r="129" spans="1:14">
      <c r="A129" s="8"/>
      <c r="B129" s="8"/>
      <c r="D129" s="18"/>
      <c r="E129" s="18"/>
      <c r="F129" s="59"/>
      <c r="H129" s="11"/>
      <c r="I129" s="12"/>
      <c r="K129" s="12"/>
      <c r="L129" s="61"/>
      <c r="M129" s="61"/>
      <c r="N129" s="12"/>
    </row>
    <row r="130" spans="1:14">
      <c r="A130" s="8"/>
      <c r="B130" s="8"/>
      <c r="D130" s="18"/>
      <c r="E130" s="18"/>
      <c r="F130" s="59"/>
      <c r="H130" s="11"/>
      <c r="I130" s="12"/>
      <c r="K130" s="12"/>
      <c r="L130" s="61"/>
      <c r="M130" s="61"/>
      <c r="N130" s="12"/>
    </row>
    <row r="131" spans="1:14">
      <c r="A131" s="8"/>
      <c r="B131" s="8"/>
      <c r="D131" s="18"/>
      <c r="E131" s="18"/>
      <c r="F131" s="59"/>
      <c r="H131" s="11"/>
      <c r="I131" s="12"/>
      <c r="K131" s="12"/>
      <c r="L131" s="61"/>
      <c r="M131" s="61"/>
      <c r="N131" s="12"/>
    </row>
    <row r="132" spans="1:14">
      <c r="A132" s="8"/>
      <c r="B132" s="8"/>
      <c r="D132" s="18"/>
      <c r="E132" s="18"/>
      <c r="F132" s="59"/>
      <c r="H132" s="11"/>
      <c r="I132" s="12"/>
      <c r="K132" s="12"/>
      <c r="L132" s="61"/>
      <c r="M132" s="61"/>
      <c r="N132" s="12"/>
    </row>
    <row r="133" spans="1:14">
      <c r="A133" s="8"/>
      <c r="B133" s="8"/>
      <c r="D133" s="18"/>
      <c r="E133" s="18"/>
      <c r="F133" s="59"/>
      <c r="H133" s="11"/>
      <c r="I133" s="12"/>
      <c r="K133" s="12"/>
      <c r="L133" s="61"/>
      <c r="M133" s="61"/>
      <c r="N133" s="12"/>
    </row>
    <row r="134" spans="1:14">
      <c r="A134" s="8"/>
      <c r="B134" s="8"/>
      <c r="D134" s="18"/>
      <c r="E134" s="18"/>
      <c r="F134" s="59"/>
      <c r="H134" s="11"/>
      <c r="I134" s="12"/>
      <c r="K134" s="12"/>
      <c r="L134" s="61"/>
      <c r="M134" s="61"/>
      <c r="N134" s="12"/>
    </row>
    <row r="135" spans="1:14">
      <c r="A135" s="8"/>
      <c r="B135" s="8"/>
      <c r="D135" s="18"/>
      <c r="E135" s="18"/>
      <c r="F135" s="59"/>
      <c r="H135" s="11"/>
      <c r="I135" s="12"/>
      <c r="K135" s="12"/>
      <c r="L135" s="61"/>
      <c r="M135" s="61"/>
      <c r="N135" s="12"/>
    </row>
    <row r="136" spans="1:14">
      <c r="A136" s="8"/>
      <c r="B136" s="8"/>
      <c r="D136" s="18"/>
      <c r="E136" s="18"/>
      <c r="F136" s="59"/>
      <c r="H136" s="11"/>
      <c r="I136" s="12"/>
      <c r="K136" s="12"/>
      <c r="L136" s="61"/>
      <c r="M136" s="61"/>
      <c r="N136" s="12"/>
    </row>
    <row r="137" spans="1:14">
      <c r="A137" s="8"/>
      <c r="B137" s="8"/>
      <c r="D137" s="18"/>
      <c r="E137" s="18"/>
      <c r="F137" s="59"/>
      <c r="H137" s="11"/>
      <c r="I137" s="12"/>
      <c r="K137" s="12"/>
      <c r="L137" s="61"/>
      <c r="M137" s="61"/>
      <c r="N137" s="12"/>
    </row>
    <row r="138" spans="1:14">
      <c r="A138" s="8"/>
      <c r="B138" s="8"/>
      <c r="D138" s="18"/>
      <c r="E138" s="18"/>
      <c r="F138" s="59"/>
      <c r="H138" s="11"/>
      <c r="I138" s="12"/>
      <c r="K138" s="12"/>
      <c r="L138" s="61"/>
      <c r="M138" s="61"/>
      <c r="N138" s="12"/>
    </row>
    <row r="139" spans="1:14">
      <c r="A139" s="8"/>
      <c r="B139" s="8"/>
      <c r="D139" s="18"/>
      <c r="E139" s="18"/>
      <c r="F139" s="59"/>
      <c r="H139" s="11"/>
      <c r="I139" s="12"/>
      <c r="K139" s="12"/>
      <c r="L139" s="61"/>
      <c r="M139" s="61"/>
      <c r="N139" s="12"/>
    </row>
    <row r="140" spans="1:14">
      <c r="A140" s="8"/>
      <c r="B140" s="8"/>
      <c r="D140" s="18"/>
      <c r="E140" s="18"/>
      <c r="F140" s="59"/>
      <c r="H140" s="11"/>
      <c r="I140" s="12"/>
      <c r="K140" s="12"/>
      <c r="L140" s="61"/>
      <c r="M140" s="61"/>
      <c r="N140" s="12"/>
    </row>
    <row r="141" spans="1:14">
      <c r="A141" s="8"/>
      <c r="B141" s="8"/>
      <c r="D141" s="18"/>
      <c r="E141" s="18"/>
      <c r="F141" s="59"/>
      <c r="H141" s="11"/>
      <c r="I141" s="12"/>
      <c r="K141" s="12"/>
      <c r="L141" s="61"/>
      <c r="M141" s="61"/>
      <c r="N141" s="12"/>
    </row>
    <row r="142" spans="1:14">
      <c r="A142" s="8"/>
      <c r="B142" s="8"/>
      <c r="D142" s="18"/>
      <c r="E142" s="18"/>
      <c r="F142" s="59"/>
      <c r="H142" s="11"/>
      <c r="I142" s="12"/>
      <c r="K142" s="12"/>
      <c r="L142" s="61"/>
      <c r="M142" s="61"/>
      <c r="N142" s="12"/>
    </row>
    <row r="143" spans="1:14">
      <c r="A143" s="8"/>
      <c r="B143" s="8"/>
      <c r="D143" s="18"/>
      <c r="E143" s="18"/>
      <c r="F143" s="59"/>
      <c r="H143" s="11"/>
      <c r="I143" s="12"/>
      <c r="K143" s="12"/>
      <c r="L143" s="61"/>
      <c r="M143" s="61"/>
      <c r="N143" s="12"/>
    </row>
    <row r="144" spans="1:14">
      <c r="A144" s="8"/>
      <c r="B144" s="8"/>
      <c r="D144" s="18"/>
      <c r="E144" s="18"/>
      <c r="F144" s="59"/>
      <c r="H144" s="11"/>
      <c r="I144" s="12"/>
      <c r="K144" s="12"/>
      <c r="L144" s="61"/>
      <c r="M144" s="61"/>
      <c r="N144" s="12"/>
    </row>
    <row r="145" spans="1:14">
      <c r="A145" s="8"/>
      <c r="B145" s="8"/>
      <c r="D145" s="18"/>
      <c r="E145" s="18"/>
      <c r="F145" s="59"/>
      <c r="H145" s="11"/>
      <c r="I145" s="12"/>
      <c r="K145" s="12"/>
      <c r="L145" s="61"/>
      <c r="M145" s="61"/>
      <c r="N145" s="12"/>
    </row>
    <row r="146" spans="1:14">
      <c r="A146" s="8"/>
      <c r="B146" s="8"/>
      <c r="D146" s="18"/>
      <c r="E146" s="18"/>
      <c r="F146" s="59"/>
      <c r="H146" s="11"/>
      <c r="I146" s="12"/>
      <c r="K146" s="12"/>
      <c r="L146" s="61"/>
      <c r="M146" s="61"/>
      <c r="N146" s="12"/>
    </row>
    <row r="147" spans="1:14">
      <c r="A147" s="8"/>
      <c r="B147" s="8"/>
      <c r="D147" s="18"/>
      <c r="E147" s="18"/>
      <c r="F147" s="59"/>
      <c r="H147" s="11"/>
      <c r="I147" s="12"/>
      <c r="K147" s="12"/>
      <c r="L147" s="61"/>
      <c r="M147" s="61"/>
      <c r="N147" s="12"/>
    </row>
    <row r="148" spans="1:14">
      <c r="A148" s="8"/>
      <c r="B148" s="8"/>
      <c r="D148" s="18"/>
      <c r="E148" s="18"/>
      <c r="F148" s="59"/>
      <c r="H148" s="11"/>
      <c r="I148" s="12"/>
      <c r="K148" s="12"/>
      <c r="L148" s="61"/>
      <c r="M148" s="61"/>
      <c r="N148" s="12"/>
    </row>
    <row r="149" spans="1:14">
      <c r="A149" s="8"/>
      <c r="B149" s="8"/>
      <c r="D149" s="18"/>
      <c r="E149" s="18"/>
      <c r="F149" s="59"/>
      <c r="H149" s="11"/>
      <c r="I149" s="12"/>
      <c r="K149" s="12"/>
      <c r="L149" s="61"/>
      <c r="M149" s="61"/>
      <c r="N149" s="12"/>
    </row>
    <row r="150" spans="1:14">
      <c r="A150" s="8"/>
      <c r="B150" s="8"/>
      <c r="D150" s="18"/>
      <c r="E150" s="18"/>
      <c r="F150" s="59"/>
      <c r="H150" s="11"/>
      <c r="I150" s="12"/>
      <c r="K150" s="12"/>
      <c r="L150" s="61"/>
      <c r="M150" s="61"/>
      <c r="N150" s="12"/>
    </row>
    <row r="151" spans="1:14">
      <c r="A151" s="8"/>
      <c r="B151" s="8"/>
      <c r="D151" s="18"/>
      <c r="E151" s="18"/>
      <c r="F151" s="59"/>
      <c r="H151" s="11"/>
      <c r="I151" s="12"/>
      <c r="K151" s="12"/>
      <c r="L151" s="61"/>
      <c r="M151" s="61"/>
      <c r="N151" s="12"/>
    </row>
    <row r="152" spans="1:14">
      <c r="A152" s="8"/>
      <c r="B152" s="8"/>
      <c r="D152" s="18"/>
      <c r="E152" s="18"/>
      <c r="F152" s="59"/>
      <c r="H152" s="11"/>
      <c r="I152" s="12"/>
      <c r="K152" s="12"/>
      <c r="L152" s="61"/>
      <c r="M152" s="61"/>
      <c r="N152" s="12"/>
    </row>
    <row r="153" spans="1:14">
      <c r="A153" s="8"/>
      <c r="B153" s="8"/>
      <c r="D153" s="18"/>
      <c r="E153" s="18"/>
      <c r="F153" s="59"/>
      <c r="H153" s="11"/>
      <c r="I153" s="12"/>
      <c r="K153" s="12"/>
      <c r="L153" s="61"/>
      <c r="M153" s="61"/>
      <c r="N153" s="12"/>
    </row>
    <row r="154" spans="1:14">
      <c r="A154" s="8"/>
      <c r="B154" s="8"/>
      <c r="D154" s="18"/>
      <c r="E154" s="18"/>
      <c r="F154" s="59"/>
      <c r="H154" s="11"/>
      <c r="I154" s="12"/>
      <c r="K154" s="12"/>
      <c r="L154" s="61"/>
      <c r="M154" s="61"/>
      <c r="N154" s="12"/>
    </row>
    <row r="155" spans="1:14">
      <c r="A155" s="8"/>
      <c r="B155" s="8"/>
      <c r="D155" s="18"/>
      <c r="E155" s="18"/>
      <c r="F155" s="59"/>
      <c r="H155" s="11"/>
      <c r="I155" s="12"/>
      <c r="K155" s="12"/>
      <c r="L155" s="61"/>
      <c r="M155" s="61"/>
      <c r="N155" s="12"/>
    </row>
    <row r="156" spans="1:14">
      <c r="A156" s="8"/>
      <c r="B156" s="8"/>
      <c r="D156" s="18"/>
      <c r="E156" s="18"/>
      <c r="F156" s="59"/>
      <c r="H156" s="11"/>
      <c r="I156" s="12"/>
      <c r="K156" s="12"/>
      <c r="L156" s="61"/>
      <c r="M156" s="61"/>
      <c r="N156" s="12"/>
    </row>
    <row r="157" spans="1:14">
      <c r="A157" s="8"/>
      <c r="B157" s="8"/>
      <c r="D157" s="18"/>
      <c r="E157" s="18"/>
      <c r="F157" s="59"/>
      <c r="H157" s="11"/>
      <c r="I157" s="12"/>
      <c r="K157" s="12"/>
      <c r="L157" s="61"/>
      <c r="M157" s="61"/>
      <c r="N157" s="12"/>
    </row>
    <row r="158" spans="1:14">
      <c r="A158" s="8"/>
      <c r="B158" s="8"/>
      <c r="D158" s="18"/>
      <c r="E158" s="18"/>
      <c r="F158" s="59"/>
      <c r="H158" s="11"/>
      <c r="I158" s="12"/>
      <c r="K158" s="12"/>
      <c r="L158" s="61"/>
      <c r="M158" s="61"/>
      <c r="N158" s="12"/>
    </row>
    <row r="159" spans="1:14">
      <c r="A159" s="8"/>
      <c r="B159" s="8"/>
      <c r="D159" s="18"/>
      <c r="E159" s="18"/>
      <c r="F159" s="59"/>
      <c r="H159" s="11"/>
      <c r="I159" s="12"/>
      <c r="K159" s="12"/>
      <c r="L159" s="61"/>
      <c r="M159" s="61"/>
      <c r="N159" s="12"/>
    </row>
    <row r="160" spans="1:14">
      <c r="A160" s="8"/>
      <c r="B160" s="8"/>
      <c r="D160" s="18"/>
      <c r="E160" s="18"/>
      <c r="F160" s="59"/>
      <c r="H160" s="11"/>
      <c r="I160" s="12"/>
      <c r="K160" s="12"/>
      <c r="L160" s="61"/>
      <c r="M160" s="61"/>
      <c r="N160" s="12"/>
    </row>
    <row r="161" spans="1:14">
      <c r="A161" s="8"/>
      <c r="B161" s="8"/>
      <c r="D161" s="18"/>
      <c r="E161" s="18"/>
      <c r="F161" s="59"/>
      <c r="H161" s="11"/>
      <c r="I161" s="12"/>
      <c r="K161" s="12"/>
      <c r="L161" s="61"/>
      <c r="M161" s="61"/>
      <c r="N161" s="12"/>
    </row>
    <row r="162" spans="1:14">
      <c r="A162" s="8"/>
      <c r="B162" s="8"/>
      <c r="D162" s="18"/>
      <c r="E162" s="18"/>
      <c r="F162" s="59"/>
      <c r="H162" s="11"/>
      <c r="I162" s="12"/>
      <c r="K162" s="12"/>
      <c r="L162" s="61"/>
      <c r="M162" s="61"/>
      <c r="N162" s="12"/>
    </row>
    <row r="163" spans="1:14">
      <c r="A163" s="8"/>
      <c r="B163" s="8"/>
      <c r="D163" s="18"/>
      <c r="E163" s="18"/>
      <c r="F163" s="59"/>
      <c r="H163" s="11"/>
      <c r="I163" s="12"/>
      <c r="K163" s="12"/>
      <c r="L163" s="61"/>
      <c r="M163" s="61"/>
      <c r="N163" s="12"/>
    </row>
    <row r="164" spans="1:14">
      <c r="A164" s="8"/>
      <c r="B164" s="8"/>
      <c r="D164" s="18"/>
      <c r="E164" s="18"/>
      <c r="F164" s="59"/>
      <c r="H164" s="11"/>
      <c r="I164" s="12"/>
      <c r="K164" s="12"/>
      <c r="L164" s="61"/>
      <c r="M164" s="61"/>
      <c r="N164" s="12"/>
    </row>
    <row r="165" spans="1:14">
      <c r="A165" s="8"/>
      <c r="B165" s="8"/>
      <c r="D165" s="18"/>
      <c r="E165" s="18"/>
      <c r="F165" s="59"/>
      <c r="H165" s="11"/>
      <c r="I165" s="12"/>
      <c r="K165" s="12"/>
      <c r="L165" s="61"/>
      <c r="M165" s="61"/>
      <c r="N165" s="12"/>
    </row>
    <row r="166" spans="1:14">
      <c r="A166" s="8"/>
      <c r="B166" s="8"/>
      <c r="D166" s="18"/>
      <c r="E166" s="18"/>
      <c r="F166" s="59"/>
      <c r="H166" s="11"/>
      <c r="I166" s="12"/>
      <c r="K166" s="12"/>
      <c r="L166" s="61"/>
      <c r="M166" s="61"/>
      <c r="N166" s="12"/>
    </row>
    <row r="167" spans="1:14">
      <c r="A167" s="8"/>
      <c r="B167" s="8"/>
      <c r="D167" s="18"/>
      <c r="E167" s="18"/>
      <c r="F167" s="59"/>
      <c r="H167" s="11"/>
      <c r="I167" s="12"/>
      <c r="K167" s="12"/>
      <c r="L167" s="61"/>
      <c r="M167" s="61"/>
      <c r="N167" s="12"/>
    </row>
    <row r="168" spans="1:14">
      <c r="A168" s="8"/>
      <c r="B168" s="8"/>
      <c r="D168" s="18"/>
      <c r="E168" s="18"/>
      <c r="F168" s="59"/>
      <c r="H168" s="11"/>
      <c r="I168" s="12"/>
      <c r="K168" s="12"/>
      <c r="L168" s="61"/>
      <c r="M168" s="61"/>
      <c r="N168" s="12"/>
    </row>
    <row r="169" spans="1:14">
      <c r="A169" s="8"/>
      <c r="B169" s="8"/>
      <c r="D169" s="18"/>
      <c r="E169" s="18"/>
      <c r="F169" s="59"/>
      <c r="H169" s="11"/>
      <c r="I169" s="12"/>
      <c r="K169" s="12"/>
      <c r="L169" s="61"/>
      <c r="M169" s="61"/>
      <c r="N169" s="12"/>
    </row>
    <row r="170" spans="1:14">
      <c r="A170" s="8"/>
      <c r="B170" s="8"/>
      <c r="D170" s="18"/>
      <c r="E170" s="18"/>
      <c r="F170" s="59"/>
      <c r="H170" s="11"/>
      <c r="I170" s="12"/>
      <c r="K170" s="12"/>
      <c r="L170" s="61"/>
      <c r="M170" s="61"/>
      <c r="N170" s="12"/>
    </row>
    <row r="171" spans="1:14">
      <c r="A171" s="8"/>
      <c r="B171" s="8"/>
      <c r="D171" s="18"/>
      <c r="E171" s="18"/>
      <c r="F171" s="59"/>
      <c r="H171" s="11"/>
      <c r="I171" s="12"/>
      <c r="K171" s="12"/>
      <c r="L171" s="61"/>
      <c r="M171" s="61"/>
      <c r="N171" s="12"/>
    </row>
    <row r="172" spans="1:14">
      <c r="A172" s="8"/>
      <c r="B172" s="8"/>
      <c r="D172" s="18"/>
      <c r="E172" s="18"/>
      <c r="F172" s="59"/>
      <c r="H172" s="11"/>
      <c r="I172" s="12"/>
      <c r="K172" s="12"/>
      <c r="L172" s="61"/>
      <c r="M172" s="61"/>
      <c r="N172" s="12"/>
    </row>
    <row r="173" spans="1:14">
      <c r="A173" s="8"/>
      <c r="B173" s="8"/>
      <c r="D173" s="18"/>
      <c r="E173" s="18"/>
      <c r="F173" s="59"/>
      <c r="H173" s="11"/>
      <c r="I173" s="12"/>
      <c r="K173" s="12"/>
      <c r="L173" s="61"/>
      <c r="M173" s="61"/>
      <c r="N173" s="12"/>
    </row>
    <row r="174" spans="1:14">
      <c r="A174" s="8"/>
      <c r="B174" s="8"/>
      <c r="D174" s="18"/>
      <c r="E174" s="18"/>
      <c r="F174" s="59"/>
      <c r="H174" s="11"/>
      <c r="I174" s="12"/>
      <c r="K174" s="12"/>
      <c r="L174" s="61"/>
      <c r="M174" s="61"/>
      <c r="N174" s="12"/>
    </row>
    <row r="175" spans="1:14">
      <c r="A175" s="8"/>
      <c r="B175" s="8"/>
      <c r="D175" s="18"/>
      <c r="E175" s="18"/>
      <c r="F175" s="59"/>
      <c r="H175" s="11"/>
      <c r="I175" s="12"/>
      <c r="K175" s="12"/>
      <c r="L175" s="61"/>
      <c r="M175" s="61"/>
      <c r="N175" s="12"/>
    </row>
    <row r="176" spans="1:14">
      <c r="A176" s="8"/>
      <c r="B176" s="8"/>
      <c r="D176" s="18"/>
      <c r="E176" s="18"/>
      <c r="F176" s="59"/>
      <c r="H176" s="11"/>
      <c r="I176" s="12"/>
      <c r="K176" s="12"/>
      <c r="L176" s="61"/>
      <c r="M176" s="61"/>
      <c r="N176" s="12"/>
    </row>
    <row r="177" spans="1:14">
      <c r="A177" s="8"/>
      <c r="B177" s="8"/>
      <c r="D177" s="18"/>
      <c r="E177" s="18"/>
      <c r="F177" s="59"/>
      <c r="H177" s="11"/>
      <c r="I177" s="12"/>
      <c r="K177" s="12"/>
      <c r="L177" s="61"/>
      <c r="M177" s="61"/>
      <c r="N177" s="12"/>
    </row>
    <row r="178" spans="1:14">
      <c r="A178" s="8"/>
      <c r="B178" s="8"/>
      <c r="D178" s="18"/>
      <c r="E178" s="18"/>
      <c r="F178" s="59"/>
      <c r="H178" s="11"/>
      <c r="I178" s="12"/>
      <c r="K178" s="12"/>
      <c r="L178" s="61"/>
      <c r="M178" s="61"/>
      <c r="N178" s="12"/>
    </row>
    <row r="179" spans="1:14">
      <c r="A179" s="8"/>
      <c r="B179" s="8"/>
      <c r="D179" s="18"/>
      <c r="E179" s="18"/>
      <c r="F179" s="59"/>
      <c r="H179" s="11"/>
      <c r="I179" s="12"/>
      <c r="K179" s="12"/>
      <c r="L179" s="61"/>
      <c r="M179" s="61"/>
      <c r="N179" s="12"/>
    </row>
    <row r="180" spans="1:14">
      <c r="A180" s="8"/>
      <c r="B180" s="8"/>
      <c r="D180" s="18"/>
      <c r="E180" s="18"/>
      <c r="F180" s="59"/>
      <c r="H180" s="11"/>
      <c r="I180" s="12"/>
      <c r="K180" s="12"/>
      <c r="L180" s="61"/>
      <c r="M180" s="61"/>
      <c r="N180" s="12"/>
    </row>
    <row r="181" spans="1:14">
      <c r="A181" s="8"/>
      <c r="B181" s="8"/>
      <c r="D181" s="18"/>
      <c r="E181" s="18"/>
      <c r="F181" s="59"/>
      <c r="H181" s="11"/>
      <c r="I181" s="12"/>
      <c r="K181" s="12"/>
      <c r="L181" s="61"/>
      <c r="M181" s="61"/>
      <c r="N181" s="12"/>
    </row>
    <row r="182" spans="1:14">
      <c r="A182" s="8"/>
      <c r="B182" s="8"/>
      <c r="D182" s="18"/>
      <c r="E182" s="18"/>
      <c r="F182" s="59"/>
      <c r="H182" s="11"/>
      <c r="I182" s="12"/>
      <c r="K182" s="12"/>
      <c r="L182" s="61"/>
      <c r="M182" s="61"/>
      <c r="N182" s="12"/>
    </row>
    <row r="183" spans="1:14">
      <c r="A183" s="8"/>
      <c r="B183" s="8"/>
      <c r="D183" s="18"/>
      <c r="E183" s="18"/>
      <c r="F183" s="59"/>
      <c r="H183" s="11"/>
      <c r="I183" s="12"/>
      <c r="K183" s="12"/>
      <c r="L183" s="61"/>
      <c r="M183" s="61"/>
      <c r="N183" s="12"/>
    </row>
    <row r="184" spans="1:14">
      <c r="A184" s="8"/>
      <c r="B184" s="8"/>
      <c r="D184" s="18"/>
      <c r="E184" s="18"/>
      <c r="F184" s="59"/>
      <c r="H184" s="11"/>
      <c r="I184" s="12"/>
      <c r="K184" s="12"/>
      <c r="L184" s="61"/>
      <c r="M184" s="61"/>
      <c r="N184" s="12"/>
    </row>
    <row r="185" spans="1:14">
      <c r="A185" s="8"/>
      <c r="B185" s="8"/>
      <c r="D185" s="18"/>
      <c r="E185" s="18"/>
      <c r="F185" s="59"/>
      <c r="H185" s="11"/>
      <c r="I185" s="12"/>
      <c r="K185" s="12"/>
      <c r="L185" s="61"/>
      <c r="M185" s="61"/>
      <c r="N185" s="12"/>
    </row>
    <row r="186" spans="1:14">
      <c r="A186" s="8"/>
      <c r="B186" s="8"/>
      <c r="D186" s="18"/>
      <c r="E186" s="18"/>
      <c r="F186" s="59"/>
      <c r="H186" s="11"/>
      <c r="I186" s="12"/>
      <c r="K186" s="12"/>
      <c r="L186" s="61"/>
      <c r="M186" s="61"/>
      <c r="N186" s="12"/>
    </row>
    <row r="187" spans="1:14">
      <c r="A187" s="8"/>
      <c r="B187" s="8"/>
      <c r="D187" s="18"/>
      <c r="E187" s="18"/>
      <c r="F187" s="59"/>
      <c r="H187" s="11"/>
      <c r="I187" s="12"/>
      <c r="K187" s="12"/>
      <c r="L187" s="61"/>
      <c r="M187" s="61"/>
      <c r="N187" s="12"/>
    </row>
    <row r="188" spans="1:14">
      <c r="A188" s="8"/>
      <c r="B188" s="8"/>
      <c r="D188" s="18"/>
      <c r="E188" s="18"/>
      <c r="F188" s="59"/>
      <c r="H188" s="11"/>
      <c r="I188" s="12"/>
      <c r="K188" s="12"/>
      <c r="L188" s="61"/>
      <c r="M188" s="61"/>
      <c r="N188" s="12"/>
    </row>
    <row r="189" spans="1:14">
      <c r="A189" s="8"/>
      <c r="B189" s="8"/>
      <c r="D189" s="18"/>
      <c r="E189" s="18"/>
      <c r="F189" s="59"/>
      <c r="H189" s="11"/>
      <c r="I189" s="12"/>
      <c r="K189" s="12"/>
      <c r="L189" s="61"/>
      <c r="M189" s="61"/>
      <c r="N189" s="12"/>
    </row>
    <row r="190" spans="1:14">
      <c r="A190" s="8"/>
      <c r="B190" s="8"/>
      <c r="D190" s="18"/>
      <c r="E190" s="18"/>
      <c r="F190" s="59"/>
      <c r="H190" s="11"/>
      <c r="I190" s="12"/>
      <c r="K190" s="12"/>
      <c r="L190" s="61"/>
      <c r="M190" s="61"/>
      <c r="N190" s="12"/>
    </row>
    <row r="191" spans="1:14">
      <c r="A191" s="8"/>
      <c r="B191" s="8"/>
      <c r="D191" s="18"/>
      <c r="E191" s="18"/>
      <c r="F191" s="59"/>
      <c r="H191" s="11"/>
      <c r="I191" s="12"/>
      <c r="K191" s="12"/>
      <c r="L191" s="61"/>
      <c r="M191" s="61"/>
      <c r="N191" s="12"/>
    </row>
    <row r="192" spans="1:14">
      <c r="A192" s="8"/>
      <c r="B192" s="8"/>
      <c r="D192" s="18"/>
      <c r="E192" s="18"/>
      <c r="F192" s="59"/>
      <c r="H192" s="11"/>
      <c r="I192" s="12"/>
      <c r="K192" s="12"/>
      <c r="L192" s="61"/>
      <c r="M192" s="61"/>
      <c r="N192" s="12"/>
    </row>
    <row r="193" spans="1:14">
      <c r="A193" s="8"/>
      <c r="B193" s="8"/>
      <c r="D193" s="18"/>
      <c r="E193" s="18"/>
      <c r="F193" s="59"/>
      <c r="H193" s="11"/>
      <c r="I193" s="12"/>
      <c r="K193" s="12"/>
      <c r="L193" s="61"/>
      <c r="M193" s="61"/>
      <c r="N193" s="12"/>
    </row>
    <row r="194" spans="1:14">
      <c r="A194" s="8"/>
      <c r="B194" s="8"/>
      <c r="D194" s="18"/>
      <c r="E194" s="18"/>
      <c r="F194" s="59"/>
      <c r="H194" s="11"/>
      <c r="I194" s="12"/>
      <c r="K194" s="12"/>
      <c r="L194" s="61"/>
      <c r="M194" s="61"/>
      <c r="N194" s="12"/>
    </row>
    <row r="195" spans="1:14">
      <c r="A195" s="8"/>
      <c r="B195" s="8"/>
      <c r="D195" s="18"/>
      <c r="E195" s="18"/>
      <c r="F195" s="59"/>
      <c r="H195" s="11"/>
      <c r="I195" s="12"/>
      <c r="K195" s="12"/>
      <c r="L195" s="61"/>
      <c r="M195" s="61"/>
      <c r="N195" s="12"/>
    </row>
    <row r="196" spans="1:14">
      <c r="A196" s="8"/>
      <c r="B196" s="8"/>
      <c r="D196" s="18"/>
      <c r="E196" s="18"/>
      <c r="F196" s="59"/>
      <c r="H196" s="11"/>
      <c r="I196" s="12"/>
      <c r="K196" s="12"/>
      <c r="L196" s="61"/>
      <c r="M196" s="61"/>
      <c r="N196" s="12"/>
    </row>
    <row r="197" spans="1:14">
      <c r="A197" s="8"/>
      <c r="B197" s="8"/>
      <c r="D197" s="18"/>
      <c r="E197" s="18"/>
      <c r="F197" s="59"/>
      <c r="H197" s="11"/>
      <c r="I197" s="12"/>
      <c r="K197" s="12"/>
      <c r="L197" s="61"/>
      <c r="M197" s="61"/>
      <c r="N197" s="12"/>
    </row>
    <row r="198" spans="1:14">
      <c r="A198" s="8"/>
      <c r="B198" s="8"/>
      <c r="D198" s="18"/>
      <c r="E198" s="18"/>
      <c r="F198" s="59"/>
      <c r="H198" s="11"/>
      <c r="I198" s="12"/>
      <c r="K198" s="12"/>
      <c r="L198" s="61"/>
      <c r="M198" s="61"/>
      <c r="N198" s="12"/>
    </row>
    <row r="199" spans="1:14">
      <c r="A199" s="8"/>
      <c r="B199" s="8"/>
      <c r="D199" s="18"/>
      <c r="E199" s="18"/>
      <c r="F199" s="59"/>
      <c r="H199" s="11"/>
      <c r="I199" s="12"/>
      <c r="K199" s="12"/>
      <c r="L199" s="61"/>
      <c r="M199" s="61"/>
      <c r="N199" s="12"/>
    </row>
    <row r="200" spans="1:14">
      <c r="A200" s="8"/>
      <c r="B200" s="8"/>
      <c r="D200" s="18"/>
      <c r="E200" s="18"/>
      <c r="F200" s="59"/>
      <c r="H200" s="11"/>
      <c r="I200" s="12"/>
      <c r="K200" s="12"/>
      <c r="L200" s="61"/>
      <c r="M200" s="61"/>
      <c r="N200" s="12"/>
    </row>
    <row r="201" spans="1:14">
      <c r="A201" s="8"/>
      <c r="B201" s="8"/>
      <c r="D201" s="18"/>
      <c r="E201" s="18"/>
      <c r="F201" s="59"/>
      <c r="H201" s="11"/>
      <c r="I201" s="12"/>
      <c r="K201" s="12"/>
      <c r="L201" s="61"/>
      <c r="M201" s="61"/>
      <c r="N201" s="12"/>
    </row>
    <row r="202" spans="1:14">
      <c r="A202" s="8"/>
      <c r="B202" s="8"/>
      <c r="D202" s="18"/>
      <c r="E202" s="18"/>
      <c r="F202" s="59"/>
      <c r="H202" s="11"/>
      <c r="I202" s="12"/>
      <c r="K202" s="12"/>
      <c r="L202" s="61"/>
      <c r="M202" s="61"/>
      <c r="N202" s="12"/>
    </row>
    <row r="203" spans="1:14">
      <c r="A203" s="8"/>
      <c r="B203" s="8"/>
      <c r="D203" s="18"/>
      <c r="E203" s="18"/>
      <c r="F203" s="59"/>
      <c r="H203" s="11"/>
      <c r="I203" s="12"/>
      <c r="K203" s="12"/>
      <c r="L203" s="61"/>
      <c r="M203" s="61"/>
      <c r="N203" s="12"/>
    </row>
    <row r="204" spans="1:14">
      <c r="A204" s="8"/>
      <c r="B204" s="8"/>
      <c r="D204" s="18"/>
      <c r="E204" s="18"/>
      <c r="F204" s="59"/>
      <c r="H204" s="11"/>
      <c r="I204" s="12"/>
      <c r="K204" s="12"/>
      <c r="L204" s="61"/>
      <c r="M204" s="61"/>
      <c r="N204" s="12"/>
    </row>
    <row r="205" spans="1:14">
      <c r="A205" s="8"/>
      <c r="B205" s="8"/>
      <c r="D205" s="18"/>
      <c r="E205" s="18"/>
      <c r="F205" s="59"/>
      <c r="H205" s="11"/>
      <c r="I205" s="12"/>
      <c r="K205" s="12"/>
      <c r="L205" s="61"/>
      <c r="M205" s="61"/>
      <c r="N205" s="12"/>
    </row>
    <row r="206" spans="1:14">
      <c r="A206" s="8"/>
      <c r="B206" s="8"/>
      <c r="D206" s="18"/>
      <c r="E206" s="18"/>
      <c r="F206" s="59"/>
      <c r="H206" s="11"/>
      <c r="I206" s="12"/>
      <c r="K206" s="12"/>
      <c r="L206" s="61"/>
      <c r="M206" s="61"/>
      <c r="N206" s="12"/>
    </row>
    <row r="207" spans="1:14">
      <c r="A207" s="8"/>
      <c r="B207" s="8"/>
      <c r="D207" s="18"/>
      <c r="E207" s="18"/>
      <c r="F207" s="59"/>
      <c r="H207" s="11"/>
      <c r="I207" s="12"/>
      <c r="K207" s="12"/>
      <c r="L207" s="61"/>
      <c r="M207" s="61"/>
      <c r="N207" s="12"/>
    </row>
    <row r="208" spans="1:14">
      <c r="A208" s="8"/>
      <c r="B208" s="8"/>
      <c r="D208" s="18"/>
      <c r="E208" s="18"/>
      <c r="F208" s="59"/>
      <c r="H208" s="11"/>
      <c r="I208" s="12"/>
      <c r="K208" s="12"/>
      <c r="L208" s="61"/>
      <c r="M208" s="61"/>
      <c r="N208" s="12"/>
    </row>
    <row r="209" spans="1:14">
      <c r="A209" s="8"/>
      <c r="B209" s="8"/>
      <c r="D209" s="18"/>
      <c r="E209" s="18"/>
      <c r="F209" s="59"/>
      <c r="H209" s="11"/>
      <c r="I209" s="12"/>
      <c r="K209" s="12"/>
      <c r="L209" s="61"/>
      <c r="M209" s="61"/>
      <c r="N209" s="12"/>
    </row>
    <row r="210" spans="1:14">
      <c r="A210" s="8"/>
      <c r="B210" s="8"/>
      <c r="D210" s="18"/>
      <c r="E210" s="18"/>
      <c r="F210" s="59"/>
      <c r="H210" s="11"/>
      <c r="I210" s="12"/>
      <c r="K210" s="12"/>
      <c r="L210" s="61"/>
      <c r="M210" s="61"/>
      <c r="N210" s="12"/>
    </row>
    <row r="211" spans="1:14">
      <c r="A211" s="8"/>
      <c r="B211" s="8"/>
      <c r="D211" s="18"/>
      <c r="E211" s="18"/>
      <c r="F211" s="59"/>
      <c r="H211" s="11"/>
      <c r="I211" s="12"/>
      <c r="K211" s="12"/>
      <c r="L211" s="61"/>
      <c r="M211" s="61"/>
      <c r="N211" s="12"/>
    </row>
    <row r="212" spans="1:14">
      <c r="A212" s="8"/>
      <c r="B212" s="8"/>
      <c r="D212" s="18"/>
      <c r="E212" s="18"/>
      <c r="F212" s="59"/>
      <c r="H212" s="11"/>
      <c r="I212" s="12"/>
      <c r="K212" s="12"/>
      <c r="L212" s="61"/>
      <c r="M212" s="61"/>
      <c r="N212" s="12"/>
    </row>
    <row r="213" spans="1:14">
      <c r="A213" s="8"/>
      <c r="B213" s="8"/>
      <c r="D213" s="18"/>
      <c r="E213" s="18"/>
      <c r="F213" s="59"/>
      <c r="H213" s="11"/>
      <c r="I213" s="12"/>
      <c r="K213" s="12"/>
      <c r="L213" s="61"/>
      <c r="M213" s="61"/>
      <c r="N213" s="12"/>
    </row>
    <row r="214" spans="1:14">
      <c r="A214" s="8"/>
      <c r="B214" s="8"/>
      <c r="D214" s="18"/>
      <c r="E214" s="18"/>
      <c r="F214" s="59"/>
      <c r="H214" s="11"/>
      <c r="I214" s="12"/>
      <c r="K214" s="12"/>
      <c r="L214" s="61"/>
      <c r="M214" s="61"/>
      <c r="N214" s="12"/>
    </row>
    <row r="215" spans="1:14">
      <c r="A215" s="8"/>
      <c r="B215" s="8"/>
      <c r="D215" s="18"/>
      <c r="E215" s="18"/>
      <c r="F215" s="59"/>
      <c r="H215" s="11"/>
      <c r="I215" s="12"/>
      <c r="K215" s="12"/>
      <c r="L215" s="61"/>
      <c r="M215" s="61"/>
      <c r="N215" s="12"/>
    </row>
    <row r="216" spans="1:14">
      <c r="A216" s="8"/>
      <c r="B216" s="8"/>
      <c r="D216" s="18"/>
      <c r="E216" s="18"/>
      <c r="F216" s="59"/>
      <c r="H216" s="11"/>
      <c r="I216" s="12"/>
      <c r="K216" s="12"/>
      <c r="L216" s="61"/>
      <c r="M216" s="61"/>
      <c r="N216" s="12"/>
    </row>
    <row r="217" spans="1:14">
      <c r="A217" s="8"/>
      <c r="B217" s="8"/>
      <c r="D217" s="18"/>
      <c r="E217" s="18"/>
      <c r="F217" s="59"/>
      <c r="H217" s="11"/>
      <c r="I217" s="12"/>
      <c r="K217" s="12"/>
      <c r="L217" s="61"/>
      <c r="M217" s="61"/>
      <c r="N217" s="12"/>
    </row>
    <row r="218" spans="1:14">
      <c r="A218" s="8"/>
      <c r="B218" s="8"/>
      <c r="D218" s="18"/>
      <c r="E218" s="18"/>
      <c r="F218" s="59"/>
      <c r="H218" s="11"/>
      <c r="I218" s="12"/>
      <c r="K218" s="12"/>
      <c r="L218" s="61"/>
      <c r="M218" s="61"/>
      <c r="N218" s="12"/>
    </row>
    <row r="219" spans="1:14">
      <c r="A219" s="8"/>
      <c r="B219" s="8"/>
      <c r="D219" s="18"/>
      <c r="E219" s="18"/>
      <c r="F219" s="59"/>
      <c r="H219" s="11"/>
      <c r="I219" s="12"/>
      <c r="K219" s="12"/>
      <c r="L219" s="61"/>
      <c r="M219" s="61"/>
      <c r="N219" s="12"/>
    </row>
    <row r="220" spans="1:14">
      <c r="A220" s="8"/>
      <c r="B220" s="8"/>
      <c r="D220" s="18"/>
      <c r="E220" s="18"/>
      <c r="F220" s="59"/>
      <c r="H220" s="11"/>
      <c r="I220" s="12"/>
      <c r="K220" s="12"/>
      <c r="L220" s="61"/>
      <c r="M220" s="61"/>
      <c r="N220" s="12"/>
    </row>
    <row r="221" spans="1:14">
      <c r="A221" s="8"/>
      <c r="B221" s="8"/>
      <c r="D221" s="18"/>
      <c r="E221" s="18"/>
      <c r="F221" s="59"/>
      <c r="H221" s="11"/>
      <c r="I221" s="12"/>
      <c r="K221" s="12"/>
      <c r="L221" s="61"/>
      <c r="M221" s="61"/>
      <c r="N221" s="12"/>
    </row>
    <row r="222" spans="1:14">
      <c r="A222" s="8"/>
      <c r="B222" s="8"/>
      <c r="D222" s="18"/>
      <c r="E222" s="18"/>
      <c r="F222" s="59"/>
      <c r="H222" s="11"/>
      <c r="I222" s="12"/>
      <c r="K222" s="12"/>
      <c r="L222" s="61"/>
      <c r="M222" s="61"/>
      <c r="N222" s="12"/>
    </row>
    <row r="223" spans="1:14">
      <c r="A223" s="8"/>
      <c r="B223" s="8"/>
      <c r="D223" s="18"/>
      <c r="E223" s="18"/>
      <c r="F223" s="59"/>
      <c r="H223" s="11"/>
      <c r="I223" s="12"/>
      <c r="K223" s="12"/>
      <c r="L223" s="61"/>
      <c r="M223" s="61"/>
      <c r="N223" s="12"/>
    </row>
    <row r="224" spans="1:14">
      <c r="A224" s="8"/>
      <c r="B224" s="8"/>
      <c r="D224" s="18"/>
      <c r="E224" s="18"/>
      <c r="F224" s="59"/>
      <c r="H224" s="11"/>
      <c r="I224" s="12"/>
      <c r="K224" s="12"/>
      <c r="L224" s="61"/>
      <c r="M224" s="61"/>
      <c r="N224" s="12"/>
    </row>
    <row r="225" spans="1:14">
      <c r="A225" s="8"/>
      <c r="B225" s="8"/>
      <c r="D225" s="18"/>
      <c r="E225" s="18"/>
      <c r="F225" s="59"/>
      <c r="H225" s="11"/>
      <c r="I225" s="12"/>
      <c r="K225" s="12"/>
      <c r="L225" s="61"/>
      <c r="M225" s="61"/>
      <c r="N225" s="12"/>
    </row>
    <row r="226" spans="1:14">
      <c r="A226" s="8"/>
      <c r="B226" s="8"/>
      <c r="D226" s="18"/>
      <c r="E226" s="18"/>
      <c r="F226" s="59"/>
      <c r="H226" s="11"/>
      <c r="I226" s="12"/>
      <c r="K226" s="12"/>
      <c r="L226" s="61"/>
      <c r="M226" s="61"/>
      <c r="N226" s="12"/>
    </row>
    <row r="227" spans="1:14">
      <c r="A227" s="8"/>
      <c r="B227" s="8"/>
      <c r="D227" s="18"/>
      <c r="E227" s="18"/>
      <c r="F227" s="59"/>
      <c r="H227" s="11"/>
      <c r="I227" s="12"/>
      <c r="K227" s="12"/>
      <c r="L227" s="61"/>
      <c r="M227" s="61"/>
      <c r="N227" s="12"/>
    </row>
    <row r="228" spans="1:14">
      <c r="A228" s="8"/>
      <c r="B228" s="8"/>
      <c r="D228" s="18"/>
      <c r="E228" s="18"/>
      <c r="F228" s="59"/>
      <c r="H228" s="11"/>
      <c r="I228" s="12"/>
      <c r="K228" s="12"/>
      <c r="L228" s="61"/>
      <c r="M228" s="61"/>
      <c r="N228" s="12"/>
    </row>
    <row r="229" spans="1:14">
      <c r="A229" s="8"/>
      <c r="B229" s="8"/>
      <c r="D229" s="18"/>
      <c r="E229" s="18"/>
      <c r="F229" s="59"/>
      <c r="H229" s="11"/>
      <c r="I229" s="12"/>
      <c r="K229" s="12"/>
      <c r="L229" s="61"/>
      <c r="M229" s="61"/>
      <c r="N229" s="12"/>
    </row>
    <row r="230" spans="1:14">
      <c r="A230" s="8"/>
      <c r="B230" s="8"/>
      <c r="D230" s="18"/>
      <c r="E230" s="18"/>
      <c r="F230" s="59"/>
      <c r="H230" s="11"/>
      <c r="I230" s="12"/>
      <c r="K230" s="12"/>
      <c r="L230" s="61"/>
      <c r="M230" s="61"/>
      <c r="N230" s="12"/>
    </row>
    <row r="231" spans="1:14">
      <c r="A231" s="8"/>
      <c r="B231" s="8"/>
      <c r="D231" s="18"/>
      <c r="E231" s="18"/>
      <c r="F231" s="59"/>
      <c r="H231" s="11"/>
      <c r="I231" s="12"/>
      <c r="K231" s="12"/>
      <c r="L231" s="61"/>
      <c r="M231" s="61"/>
      <c r="N231" s="12"/>
    </row>
    <row r="232" spans="1:14">
      <c r="A232" s="8"/>
      <c r="B232" s="8"/>
      <c r="D232" s="18"/>
      <c r="E232" s="18"/>
      <c r="F232" s="59"/>
      <c r="H232" s="11"/>
      <c r="I232" s="12"/>
      <c r="K232" s="12"/>
      <c r="L232" s="61"/>
      <c r="M232" s="61"/>
      <c r="N232" s="12"/>
    </row>
    <row r="233" spans="1:14">
      <c r="A233" s="8"/>
      <c r="B233" s="8"/>
      <c r="D233" s="18"/>
      <c r="E233" s="18"/>
      <c r="F233" s="59"/>
      <c r="H233" s="11"/>
      <c r="I233" s="12"/>
      <c r="K233" s="12"/>
      <c r="L233" s="61"/>
      <c r="M233" s="61"/>
      <c r="N233" s="12"/>
    </row>
    <row r="234" spans="1:14">
      <c r="A234" s="8"/>
      <c r="B234" s="8"/>
      <c r="D234" s="18"/>
      <c r="E234" s="18"/>
      <c r="F234" s="59"/>
      <c r="H234" s="11"/>
      <c r="I234" s="12"/>
      <c r="K234" s="12"/>
      <c r="L234" s="61"/>
      <c r="M234" s="61"/>
      <c r="N234" s="12"/>
    </row>
    <row r="235" spans="1:14">
      <c r="A235" s="8"/>
      <c r="B235" s="8"/>
      <c r="D235" s="18"/>
      <c r="E235" s="18"/>
      <c r="F235" s="59"/>
      <c r="H235" s="11"/>
      <c r="I235" s="12"/>
      <c r="K235" s="12"/>
      <c r="L235" s="61"/>
      <c r="M235" s="61"/>
      <c r="N235" s="12"/>
    </row>
    <row r="236" spans="1:14">
      <c r="A236" s="8"/>
      <c r="B236" s="8"/>
      <c r="D236" s="18"/>
      <c r="E236" s="18"/>
      <c r="F236" s="59"/>
      <c r="H236" s="11"/>
      <c r="I236" s="12"/>
      <c r="K236" s="12"/>
      <c r="L236" s="61"/>
      <c r="M236" s="61"/>
      <c r="N236" s="12"/>
    </row>
    <row r="237" spans="1:14">
      <c r="A237" s="8"/>
      <c r="B237" s="8"/>
      <c r="D237" s="18"/>
      <c r="E237" s="18"/>
      <c r="F237" s="59"/>
      <c r="H237" s="11"/>
      <c r="I237" s="12"/>
      <c r="K237" s="12"/>
      <c r="L237" s="61"/>
      <c r="M237" s="61"/>
      <c r="N237" s="12"/>
    </row>
    <row r="238" spans="1:14">
      <c r="A238" s="8"/>
      <c r="B238" s="8"/>
      <c r="D238" s="18"/>
      <c r="E238" s="18"/>
      <c r="F238" s="59"/>
      <c r="H238" s="11"/>
      <c r="I238" s="12"/>
      <c r="K238" s="12"/>
      <c r="L238" s="61"/>
      <c r="M238" s="61"/>
      <c r="N238" s="12"/>
    </row>
    <row r="239" spans="1:14">
      <c r="A239" s="8"/>
      <c r="B239" s="8"/>
      <c r="D239" s="18"/>
      <c r="E239" s="18"/>
      <c r="F239" s="59"/>
      <c r="H239" s="11"/>
      <c r="I239" s="12"/>
      <c r="K239" s="12"/>
      <c r="L239" s="61"/>
      <c r="M239" s="61"/>
      <c r="N239" s="12"/>
    </row>
    <row r="240" spans="1:14">
      <c r="A240" s="8"/>
      <c r="B240" s="8"/>
      <c r="D240" s="18"/>
      <c r="E240" s="18"/>
      <c r="F240" s="59"/>
      <c r="H240" s="11"/>
      <c r="I240" s="12"/>
      <c r="K240" s="12"/>
      <c r="L240" s="61"/>
      <c r="M240" s="61"/>
      <c r="N240" s="12"/>
    </row>
    <row r="241" spans="1:14">
      <c r="A241" s="8"/>
      <c r="B241" s="8"/>
      <c r="D241" s="18"/>
      <c r="E241" s="18"/>
      <c r="F241" s="59"/>
      <c r="H241" s="11"/>
      <c r="I241" s="12"/>
      <c r="K241" s="12"/>
      <c r="L241" s="61"/>
      <c r="M241" s="61"/>
      <c r="N241" s="12"/>
    </row>
    <row r="242" spans="1:14">
      <c r="A242" s="8"/>
      <c r="B242" s="8"/>
      <c r="D242" s="18"/>
      <c r="E242" s="18"/>
      <c r="F242" s="59"/>
      <c r="H242" s="11"/>
      <c r="I242" s="12"/>
      <c r="K242" s="12"/>
      <c r="L242" s="61"/>
      <c r="M242" s="61"/>
      <c r="N242" s="12"/>
    </row>
    <row r="243" spans="1:14">
      <c r="A243" s="8"/>
      <c r="B243" s="8"/>
      <c r="D243" s="18"/>
      <c r="E243" s="18"/>
      <c r="F243" s="59"/>
      <c r="H243" s="11"/>
      <c r="I243" s="12"/>
      <c r="K243" s="12"/>
      <c r="L243" s="61"/>
      <c r="M243" s="61"/>
      <c r="N243" s="12"/>
    </row>
    <row r="244" spans="1:14">
      <c r="A244" s="8"/>
      <c r="B244" s="8"/>
      <c r="D244" s="18"/>
      <c r="E244" s="18"/>
      <c r="F244" s="59"/>
      <c r="H244" s="11"/>
      <c r="I244" s="12"/>
      <c r="K244" s="12"/>
      <c r="L244" s="61"/>
      <c r="M244" s="61"/>
      <c r="N244" s="12"/>
    </row>
    <row r="245" spans="1:14">
      <c r="A245" s="8"/>
      <c r="B245" s="8"/>
      <c r="D245" s="18"/>
      <c r="E245" s="18"/>
      <c r="F245" s="59"/>
      <c r="H245" s="11"/>
      <c r="I245" s="12"/>
      <c r="K245" s="12"/>
      <c r="L245" s="61"/>
      <c r="M245" s="61"/>
      <c r="N245" s="12"/>
    </row>
    <row r="246" spans="1:14">
      <c r="A246" s="8"/>
      <c r="B246" s="8"/>
      <c r="D246" s="18"/>
      <c r="E246" s="18"/>
      <c r="F246" s="59"/>
      <c r="H246" s="11"/>
      <c r="I246" s="12"/>
      <c r="K246" s="12"/>
      <c r="L246" s="61"/>
      <c r="M246" s="61"/>
      <c r="N246" s="12"/>
    </row>
    <row r="247" spans="1:14">
      <c r="A247" s="8"/>
      <c r="B247" s="8"/>
      <c r="D247" s="18"/>
      <c r="E247" s="18"/>
      <c r="F247" s="59"/>
      <c r="H247" s="11"/>
      <c r="I247" s="12"/>
      <c r="K247" s="12"/>
      <c r="L247" s="61"/>
      <c r="M247" s="61"/>
      <c r="N247" s="12"/>
    </row>
    <row r="248" spans="1:14">
      <c r="A248" s="8"/>
      <c r="B248" s="8"/>
      <c r="D248" s="18"/>
      <c r="E248" s="18"/>
      <c r="F248" s="59"/>
      <c r="H248" s="11"/>
      <c r="I248" s="12"/>
      <c r="K248" s="12"/>
      <c r="L248" s="61"/>
      <c r="M248" s="61"/>
      <c r="N248" s="12"/>
    </row>
    <row r="249" spans="1:14">
      <c r="A249" s="8"/>
      <c r="B249" s="8"/>
      <c r="D249" s="18"/>
      <c r="E249" s="18"/>
      <c r="F249" s="59"/>
      <c r="H249" s="11"/>
      <c r="I249" s="12"/>
      <c r="K249" s="12"/>
      <c r="L249" s="61"/>
      <c r="M249" s="61"/>
      <c r="N249" s="12"/>
    </row>
    <row r="250" spans="1:14">
      <c r="A250" s="8"/>
      <c r="B250" s="8"/>
      <c r="D250" s="18"/>
      <c r="E250" s="18"/>
      <c r="F250" s="59"/>
      <c r="H250" s="11"/>
      <c r="I250" s="12"/>
      <c r="K250" s="12"/>
      <c r="L250" s="61"/>
      <c r="M250" s="61"/>
      <c r="N250" s="12"/>
    </row>
    <row r="251" spans="1:14">
      <c r="A251" s="8"/>
      <c r="B251" s="8"/>
      <c r="D251" s="18"/>
      <c r="E251" s="18"/>
      <c r="F251" s="59"/>
      <c r="H251" s="11"/>
      <c r="I251" s="12"/>
      <c r="K251" s="12"/>
      <c r="L251" s="61"/>
      <c r="M251" s="61"/>
      <c r="N251" s="12"/>
    </row>
    <row r="252" spans="1:14">
      <c r="A252" s="8"/>
      <c r="B252" s="8"/>
      <c r="D252" s="18"/>
      <c r="E252" s="18"/>
      <c r="F252" s="59"/>
      <c r="H252" s="11"/>
      <c r="I252" s="12"/>
      <c r="K252" s="12"/>
      <c r="L252" s="61"/>
      <c r="M252" s="61"/>
      <c r="N252" s="12"/>
    </row>
    <row r="253" spans="1:14">
      <c r="A253" s="8"/>
      <c r="B253" s="8"/>
      <c r="D253" s="18"/>
      <c r="E253" s="18"/>
      <c r="F253" s="59"/>
      <c r="H253" s="11"/>
      <c r="I253" s="12"/>
      <c r="K253" s="12"/>
      <c r="L253" s="61"/>
      <c r="M253" s="61"/>
      <c r="N253" s="12"/>
    </row>
    <row r="254" spans="1:14">
      <c r="A254" s="8"/>
      <c r="B254" s="8"/>
      <c r="D254" s="18"/>
      <c r="E254" s="18"/>
      <c r="F254" s="59"/>
      <c r="H254" s="11"/>
      <c r="I254" s="12"/>
      <c r="K254" s="12"/>
      <c r="L254" s="61"/>
      <c r="M254" s="61"/>
      <c r="N254" s="12"/>
    </row>
    <row r="255" spans="1:14">
      <c r="A255" s="8"/>
      <c r="B255" s="8"/>
      <c r="D255" s="18"/>
      <c r="E255" s="18"/>
      <c r="F255" s="59"/>
      <c r="H255" s="11"/>
      <c r="I255" s="12"/>
      <c r="K255" s="12"/>
      <c r="L255" s="61"/>
      <c r="M255" s="61"/>
      <c r="N255" s="12"/>
    </row>
    <row r="256" spans="1:14">
      <c r="A256" s="8"/>
      <c r="B256" s="8"/>
      <c r="D256" s="18"/>
      <c r="E256" s="18"/>
      <c r="F256" s="59"/>
      <c r="H256" s="11"/>
      <c r="I256" s="12"/>
      <c r="K256" s="12"/>
      <c r="L256" s="61"/>
      <c r="M256" s="61"/>
      <c r="N256" s="12"/>
    </row>
    <row r="257" spans="1:14">
      <c r="A257" s="8"/>
      <c r="B257" s="8"/>
      <c r="D257" s="18"/>
      <c r="E257" s="18"/>
      <c r="F257" s="59"/>
      <c r="H257" s="11"/>
      <c r="I257" s="12"/>
      <c r="K257" s="12"/>
      <c r="L257" s="61"/>
      <c r="M257" s="61"/>
      <c r="N257" s="12"/>
    </row>
    <row r="258" spans="1:14">
      <c r="A258" s="8"/>
      <c r="B258" s="8"/>
      <c r="D258" s="18"/>
      <c r="E258" s="18"/>
      <c r="F258" s="59"/>
      <c r="H258" s="11"/>
      <c r="I258" s="12"/>
      <c r="K258" s="12"/>
      <c r="L258" s="61"/>
      <c r="M258" s="61"/>
      <c r="N258" s="12"/>
    </row>
    <row r="259" spans="1:14">
      <c r="A259" s="8"/>
      <c r="B259" s="8"/>
      <c r="D259" s="18"/>
      <c r="E259" s="18"/>
      <c r="F259" s="59"/>
      <c r="H259" s="11"/>
      <c r="I259" s="12"/>
      <c r="K259" s="12"/>
      <c r="L259" s="61"/>
      <c r="M259" s="61"/>
      <c r="N259" s="12"/>
    </row>
    <row r="260" spans="1:14">
      <c r="A260" s="8"/>
      <c r="B260" s="8"/>
      <c r="D260" s="18"/>
      <c r="E260" s="18"/>
      <c r="F260" s="59"/>
      <c r="H260" s="11"/>
      <c r="I260" s="12"/>
      <c r="K260" s="12"/>
      <c r="L260" s="61"/>
      <c r="M260" s="61"/>
      <c r="N260" s="12"/>
    </row>
    <row r="261" spans="1:14">
      <c r="A261" s="8"/>
      <c r="B261" s="8"/>
      <c r="D261" s="18"/>
      <c r="E261" s="18"/>
      <c r="F261" s="59"/>
      <c r="H261" s="11"/>
      <c r="I261" s="12"/>
      <c r="K261" s="12"/>
      <c r="L261" s="61"/>
      <c r="M261" s="61"/>
      <c r="N261" s="12"/>
    </row>
    <row r="262" spans="1:14">
      <c r="A262" s="8"/>
      <c r="B262" s="8"/>
      <c r="D262" s="18"/>
      <c r="E262" s="18"/>
      <c r="F262" s="59"/>
      <c r="H262" s="11"/>
      <c r="I262" s="12"/>
      <c r="K262" s="12"/>
      <c r="L262" s="61"/>
      <c r="M262" s="61"/>
      <c r="N262" s="12"/>
    </row>
    <row r="263" spans="1:14">
      <c r="A263" s="8"/>
      <c r="B263" s="8"/>
      <c r="D263" s="18"/>
      <c r="E263" s="18"/>
      <c r="F263" s="59"/>
      <c r="H263" s="11"/>
      <c r="I263" s="12"/>
      <c r="K263" s="12"/>
      <c r="L263" s="61"/>
      <c r="M263" s="61"/>
      <c r="N263" s="12"/>
    </row>
    <row r="264" spans="1:14">
      <c r="A264" s="8"/>
      <c r="B264" s="8"/>
      <c r="D264" s="18"/>
      <c r="E264" s="18"/>
      <c r="F264" s="59"/>
      <c r="H264" s="11"/>
      <c r="I264" s="12"/>
      <c r="K264" s="12"/>
      <c r="L264" s="61"/>
      <c r="M264" s="61"/>
      <c r="N264" s="12"/>
    </row>
    <row r="265" spans="1:14">
      <c r="A265" s="8"/>
      <c r="B265" s="8"/>
      <c r="D265" s="18"/>
      <c r="E265" s="18"/>
      <c r="F265" s="59"/>
      <c r="H265" s="11"/>
      <c r="I265" s="12"/>
      <c r="K265" s="12"/>
      <c r="L265" s="61"/>
      <c r="M265" s="61"/>
      <c r="N265" s="12"/>
    </row>
    <row r="266" spans="1:14">
      <c r="A266" s="8"/>
      <c r="B266" s="8"/>
      <c r="D266" s="18"/>
      <c r="E266" s="18"/>
      <c r="F266" s="59"/>
      <c r="H266" s="11"/>
      <c r="I266" s="12"/>
      <c r="K266" s="12"/>
      <c r="L266" s="61"/>
      <c r="M266" s="61"/>
      <c r="N266" s="12"/>
    </row>
    <row r="267" spans="1:14">
      <c r="A267" s="8"/>
      <c r="B267" s="8"/>
      <c r="D267" s="18"/>
      <c r="E267" s="18"/>
      <c r="F267" s="59"/>
      <c r="H267" s="11"/>
      <c r="I267" s="12"/>
      <c r="K267" s="12"/>
      <c r="L267" s="61"/>
      <c r="M267" s="61"/>
      <c r="N267" s="12"/>
    </row>
    <row r="268" spans="1:14">
      <c r="A268" s="8"/>
      <c r="B268" s="8"/>
      <c r="D268" s="18"/>
      <c r="E268" s="18"/>
      <c r="F268" s="59"/>
      <c r="H268" s="11"/>
      <c r="I268" s="12"/>
      <c r="K268" s="12"/>
      <c r="L268" s="61"/>
      <c r="M268" s="61"/>
      <c r="N268" s="12"/>
    </row>
    <row r="269" spans="1:14">
      <c r="A269" s="8"/>
      <c r="B269" s="8"/>
      <c r="D269" s="18"/>
      <c r="E269" s="18"/>
      <c r="F269" s="59"/>
      <c r="H269" s="11"/>
      <c r="I269" s="12"/>
      <c r="K269" s="12"/>
      <c r="L269" s="61"/>
      <c r="M269" s="61"/>
      <c r="N269" s="12"/>
    </row>
    <row r="270" spans="1:14">
      <c r="A270" s="8"/>
      <c r="B270" s="8"/>
      <c r="D270" s="18"/>
      <c r="E270" s="18"/>
      <c r="F270" s="59"/>
      <c r="H270" s="11"/>
      <c r="I270" s="12"/>
      <c r="K270" s="12"/>
      <c r="L270" s="61"/>
      <c r="M270" s="61"/>
      <c r="N270" s="12"/>
    </row>
    <row r="271" spans="1:14">
      <c r="A271" s="8"/>
      <c r="B271" s="8"/>
      <c r="D271" s="18"/>
      <c r="E271" s="18"/>
      <c r="F271" s="59"/>
      <c r="H271" s="11"/>
      <c r="I271" s="12"/>
      <c r="K271" s="12"/>
      <c r="L271" s="61"/>
      <c r="M271" s="61"/>
      <c r="N271" s="12"/>
    </row>
    <row r="272" spans="1:14">
      <c r="A272" s="8"/>
      <c r="B272" s="8"/>
      <c r="D272" s="18"/>
      <c r="E272" s="18"/>
      <c r="F272" s="59"/>
      <c r="H272" s="11"/>
      <c r="I272" s="12"/>
      <c r="K272" s="12"/>
      <c r="L272" s="61"/>
      <c r="M272" s="61"/>
      <c r="N272" s="12"/>
    </row>
    <row r="273" spans="1:14">
      <c r="A273" s="8"/>
      <c r="B273" s="8"/>
      <c r="D273" s="18"/>
      <c r="E273" s="18"/>
      <c r="F273" s="59"/>
      <c r="H273" s="11"/>
      <c r="I273" s="12"/>
      <c r="K273" s="12"/>
      <c r="L273" s="61"/>
      <c r="M273" s="61"/>
      <c r="N273" s="12"/>
    </row>
    <row r="274" spans="1:14">
      <c r="A274" s="8"/>
      <c r="B274" s="8"/>
      <c r="D274" s="18"/>
      <c r="E274" s="18"/>
      <c r="F274" s="59"/>
      <c r="H274" s="11"/>
      <c r="I274" s="12"/>
      <c r="K274" s="12"/>
      <c r="L274" s="61"/>
      <c r="M274" s="61"/>
      <c r="N274" s="12"/>
    </row>
    <row r="275" spans="1:14">
      <c r="A275" s="8"/>
      <c r="B275" s="8"/>
      <c r="D275" s="18"/>
      <c r="E275" s="18"/>
      <c r="F275" s="59"/>
      <c r="H275" s="11"/>
      <c r="I275" s="12"/>
      <c r="K275" s="12"/>
      <c r="L275" s="61"/>
      <c r="M275" s="61"/>
      <c r="N275" s="12"/>
    </row>
    <row r="276" spans="1:14">
      <c r="A276" s="8"/>
      <c r="B276" s="8"/>
      <c r="D276" s="18"/>
      <c r="E276" s="18"/>
      <c r="F276" s="59"/>
      <c r="H276" s="11"/>
      <c r="I276" s="12"/>
      <c r="K276" s="12"/>
      <c r="L276" s="61"/>
      <c r="M276" s="61"/>
      <c r="N276" s="12"/>
    </row>
    <row r="277" spans="1:14">
      <c r="A277" s="8"/>
      <c r="B277" s="8"/>
      <c r="D277" s="18"/>
      <c r="E277" s="18"/>
      <c r="F277" s="59"/>
      <c r="H277" s="11"/>
      <c r="I277" s="12"/>
      <c r="K277" s="12"/>
      <c r="L277" s="61"/>
      <c r="M277" s="61"/>
      <c r="N277" s="12"/>
    </row>
    <row r="278" spans="1:14">
      <c r="A278" s="8"/>
      <c r="B278" s="8"/>
      <c r="D278" s="18"/>
      <c r="E278" s="18"/>
      <c r="F278" s="59"/>
      <c r="H278" s="11"/>
      <c r="I278" s="12"/>
      <c r="K278" s="12"/>
      <c r="L278" s="61"/>
      <c r="M278" s="61"/>
      <c r="N278" s="12"/>
    </row>
    <row r="279" spans="1:14">
      <c r="A279" s="8"/>
      <c r="B279" s="8"/>
      <c r="D279" s="18"/>
      <c r="E279" s="18"/>
      <c r="F279" s="59"/>
      <c r="H279" s="11"/>
      <c r="I279" s="12"/>
      <c r="K279" s="12"/>
      <c r="L279" s="61"/>
      <c r="M279" s="61"/>
      <c r="N279" s="12"/>
    </row>
    <row r="280" spans="1:14">
      <c r="A280" s="8"/>
      <c r="B280" s="8"/>
      <c r="D280" s="18"/>
      <c r="E280" s="18"/>
      <c r="F280" s="59"/>
      <c r="H280" s="11"/>
      <c r="I280" s="12"/>
      <c r="K280" s="12"/>
      <c r="L280" s="61"/>
      <c r="M280" s="61"/>
      <c r="N280" s="12"/>
    </row>
    <row r="281" spans="1:14">
      <c r="A281" s="8"/>
      <c r="B281" s="8"/>
      <c r="D281" s="18"/>
      <c r="E281" s="18"/>
      <c r="F281" s="59"/>
      <c r="H281" s="11"/>
      <c r="I281" s="12"/>
      <c r="K281" s="12"/>
      <c r="L281" s="61"/>
      <c r="M281" s="61"/>
      <c r="N281" s="12"/>
    </row>
    <row r="282" spans="1:14">
      <c r="A282" s="8"/>
      <c r="B282" s="8"/>
      <c r="D282" s="18"/>
      <c r="E282" s="18"/>
      <c r="F282" s="59"/>
      <c r="H282" s="11"/>
      <c r="I282" s="12"/>
      <c r="K282" s="12"/>
      <c r="L282" s="61"/>
      <c r="M282" s="61"/>
      <c r="N282" s="12"/>
    </row>
    <row r="283" spans="1:14">
      <c r="A283" s="8"/>
      <c r="B283" s="8"/>
      <c r="D283" s="18"/>
      <c r="E283" s="18"/>
      <c r="F283" s="59"/>
      <c r="H283" s="11"/>
      <c r="I283" s="12"/>
      <c r="K283" s="12"/>
      <c r="L283" s="61"/>
      <c r="M283" s="61"/>
      <c r="N283" s="12"/>
    </row>
    <row r="284" spans="1:14">
      <c r="A284" s="8"/>
      <c r="B284" s="8"/>
      <c r="D284" s="18"/>
      <c r="E284" s="18"/>
      <c r="F284" s="59"/>
      <c r="H284" s="11"/>
      <c r="I284" s="12"/>
      <c r="K284" s="12"/>
      <c r="L284" s="61"/>
      <c r="M284" s="61"/>
      <c r="N284" s="12"/>
    </row>
    <row r="285" spans="1:14">
      <c r="A285" s="8"/>
      <c r="B285" s="8"/>
      <c r="D285" s="18"/>
      <c r="E285" s="18"/>
      <c r="F285" s="59"/>
      <c r="H285" s="11"/>
      <c r="I285" s="12"/>
      <c r="K285" s="12"/>
      <c r="L285" s="61"/>
      <c r="M285" s="61"/>
      <c r="N285" s="12"/>
    </row>
    <row r="286" spans="1:14">
      <c r="A286" s="8"/>
      <c r="B286" s="8"/>
      <c r="D286" s="18"/>
      <c r="E286" s="18"/>
      <c r="F286" s="59"/>
      <c r="H286" s="11"/>
      <c r="I286" s="12"/>
      <c r="K286" s="12"/>
      <c r="L286" s="61"/>
      <c r="M286" s="61"/>
      <c r="N286" s="12"/>
    </row>
    <row r="287" spans="1:14">
      <c r="A287" s="8"/>
      <c r="B287" s="8"/>
      <c r="D287" s="18"/>
      <c r="E287" s="18"/>
      <c r="F287" s="59"/>
      <c r="H287" s="11"/>
      <c r="I287" s="12"/>
      <c r="K287" s="12"/>
      <c r="L287" s="61"/>
      <c r="M287" s="61"/>
      <c r="N287" s="12"/>
    </row>
    <row r="288" spans="1:14">
      <c r="A288" s="8"/>
      <c r="B288" s="8"/>
      <c r="D288" s="18"/>
      <c r="E288" s="18"/>
      <c r="F288" s="59"/>
      <c r="H288" s="11"/>
      <c r="I288" s="12"/>
      <c r="K288" s="12"/>
      <c r="L288" s="61"/>
      <c r="M288" s="61"/>
      <c r="N288" s="12"/>
    </row>
    <row r="289" spans="1:14">
      <c r="A289" s="8"/>
      <c r="B289" s="8"/>
      <c r="D289" s="18"/>
      <c r="E289" s="18"/>
      <c r="F289" s="59"/>
      <c r="H289" s="11"/>
      <c r="I289" s="12"/>
      <c r="K289" s="12"/>
      <c r="L289" s="61"/>
      <c r="M289" s="61"/>
      <c r="N289" s="12"/>
    </row>
    <row r="290" spans="1:14">
      <c r="A290" s="8"/>
      <c r="B290" s="8"/>
      <c r="D290" s="18"/>
      <c r="E290" s="18"/>
      <c r="F290" s="59"/>
      <c r="H290" s="11"/>
      <c r="I290" s="12"/>
      <c r="K290" s="12"/>
      <c r="L290" s="61"/>
      <c r="M290" s="61"/>
      <c r="N290" s="12"/>
    </row>
    <row r="291" spans="1:14">
      <c r="A291" s="8"/>
      <c r="B291" s="8"/>
      <c r="D291" s="18"/>
      <c r="E291" s="18"/>
      <c r="F291" s="59"/>
      <c r="H291" s="11"/>
      <c r="I291" s="12"/>
      <c r="K291" s="12"/>
      <c r="L291" s="61"/>
      <c r="M291" s="61"/>
      <c r="N291" s="12"/>
    </row>
    <row r="292" spans="1:14">
      <c r="A292" s="8"/>
      <c r="B292" s="8"/>
      <c r="D292" s="18"/>
      <c r="E292" s="18"/>
      <c r="F292" s="59"/>
      <c r="H292" s="11"/>
      <c r="I292" s="12"/>
      <c r="K292" s="12"/>
      <c r="L292" s="61"/>
      <c r="M292" s="61"/>
      <c r="N292" s="12"/>
    </row>
    <row r="293" spans="1:14">
      <c r="A293" s="8"/>
      <c r="B293" s="8"/>
      <c r="D293" s="18"/>
      <c r="E293" s="18"/>
      <c r="F293" s="59"/>
      <c r="H293" s="11"/>
      <c r="I293" s="12"/>
      <c r="K293" s="12"/>
      <c r="L293" s="61"/>
      <c r="M293" s="61"/>
      <c r="N293" s="12"/>
    </row>
    <row r="294" spans="1:14">
      <c r="A294" s="8"/>
      <c r="B294" s="8"/>
      <c r="D294" s="18"/>
      <c r="E294" s="18"/>
      <c r="F294" s="59"/>
      <c r="H294" s="11"/>
      <c r="I294" s="12"/>
      <c r="K294" s="12"/>
      <c r="L294" s="61"/>
      <c r="M294" s="61"/>
      <c r="N294" s="12"/>
    </row>
    <row r="295" spans="1:14">
      <c r="A295" s="8"/>
      <c r="B295" s="8"/>
      <c r="D295" s="18"/>
      <c r="E295" s="18"/>
      <c r="F295" s="59"/>
      <c r="H295" s="11"/>
      <c r="I295" s="12"/>
      <c r="K295" s="12"/>
      <c r="L295" s="61"/>
      <c r="M295" s="61"/>
      <c r="N295" s="12"/>
    </row>
    <row r="296" spans="1:14">
      <c r="A296" s="8"/>
      <c r="B296" s="8"/>
      <c r="D296" s="18"/>
      <c r="E296" s="18"/>
      <c r="F296" s="59"/>
      <c r="H296" s="11"/>
      <c r="I296" s="12"/>
      <c r="K296" s="12"/>
      <c r="L296" s="61"/>
      <c r="M296" s="61"/>
      <c r="N296" s="12"/>
    </row>
    <row r="297" spans="1:14">
      <c r="A297" s="8"/>
      <c r="B297" s="8"/>
      <c r="D297" s="18"/>
      <c r="E297" s="18"/>
      <c r="F297" s="59"/>
      <c r="H297" s="11"/>
      <c r="I297" s="12"/>
      <c r="K297" s="12"/>
      <c r="L297" s="61"/>
      <c r="M297" s="61"/>
      <c r="N297" s="12"/>
    </row>
    <row r="298" spans="1:14">
      <c r="A298" s="8"/>
      <c r="B298" s="8"/>
      <c r="D298" s="18"/>
      <c r="E298" s="18"/>
      <c r="F298" s="59"/>
      <c r="H298" s="11"/>
      <c r="I298" s="12"/>
      <c r="K298" s="12"/>
      <c r="L298" s="61"/>
      <c r="M298" s="61"/>
      <c r="N298" s="12"/>
    </row>
    <row r="299" spans="1:14">
      <c r="A299" s="8"/>
      <c r="B299" s="8"/>
      <c r="D299" s="18"/>
      <c r="E299" s="18"/>
      <c r="F299" s="59"/>
      <c r="H299" s="11"/>
      <c r="I299" s="12"/>
      <c r="K299" s="12"/>
      <c r="L299" s="61"/>
      <c r="M299" s="61"/>
      <c r="N299" s="12"/>
    </row>
    <row r="300" spans="1:14">
      <c r="A300" s="8"/>
      <c r="B300" s="8"/>
      <c r="D300" s="18"/>
      <c r="E300" s="18"/>
      <c r="F300" s="59"/>
      <c r="H300" s="11"/>
      <c r="I300" s="12"/>
      <c r="K300" s="12"/>
      <c r="L300" s="61"/>
      <c r="M300" s="61"/>
      <c r="N300" s="12"/>
    </row>
    <row r="301" spans="1:14">
      <c r="A301" s="8"/>
      <c r="B301" s="8"/>
      <c r="D301" s="18"/>
      <c r="E301" s="18"/>
      <c r="F301" s="59"/>
      <c r="H301" s="11"/>
      <c r="I301" s="12"/>
      <c r="K301" s="12"/>
      <c r="L301" s="61"/>
      <c r="M301" s="61"/>
      <c r="N301" s="12"/>
    </row>
    <row r="302" spans="1:14">
      <c r="A302" s="8"/>
      <c r="B302" s="8"/>
      <c r="D302" s="18"/>
      <c r="E302" s="18"/>
      <c r="F302" s="59"/>
      <c r="H302" s="11"/>
      <c r="I302" s="12"/>
      <c r="K302" s="12"/>
      <c r="L302" s="61"/>
      <c r="M302" s="61"/>
      <c r="N302" s="12"/>
    </row>
    <row r="303" spans="1:14">
      <c r="A303" s="8"/>
      <c r="B303" s="8"/>
      <c r="D303" s="18"/>
      <c r="E303" s="18"/>
      <c r="F303" s="59"/>
      <c r="H303" s="11"/>
      <c r="I303" s="12"/>
      <c r="K303" s="12"/>
      <c r="L303" s="61"/>
      <c r="M303" s="61"/>
      <c r="N303" s="12"/>
    </row>
    <row r="304" spans="1:14">
      <c r="A304" s="8"/>
      <c r="B304" s="8"/>
      <c r="D304" s="18"/>
      <c r="E304" s="18"/>
      <c r="F304" s="59"/>
      <c r="H304" s="11"/>
      <c r="I304" s="12"/>
      <c r="K304" s="12"/>
      <c r="L304" s="61"/>
      <c r="M304" s="61"/>
      <c r="N304" s="12"/>
    </row>
    <row r="305" spans="1:14">
      <c r="A305" s="8"/>
      <c r="B305" s="8"/>
      <c r="D305" s="18"/>
      <c r="E305" s="18"/>
      <c r="F305" s="59"/>
      <c r="H305" s="11"/>
      <c r="I305" s="12"/>
      <c r="K305" s="12"/>
      <c r="L305" s="61"/>
      <c r="M305" s="61"/>
      <c r="N305" s="12"/>
    </row>
    <row r="306" spans="1:14">
      <c r="A306" s="8"/>
      <c r="B306" s="8"/>
      <c r="D306" s="18"/>
      <c r="E306" s="18"/>
      <c r="F306" s="59"/>
      <c r="H306" s="11"/>
      <c r="I306" s="12"/>
      <c r="K306" s="12"/>
      <c r="L306" s="61"/>
      <c r="M306" s="61"/>
      <c r="N306" s="12"/>
    </row>
    <row r="307" spans="1:14">
      <c r="A307" s="8"/>
      <c r="B307" s="8"/>
      <c r="D307" s="18"/>
      <c r="E307" s="18"/>
      <c r="F307" s="59"/>
      <c r="H307" s="11"/>
      <c r="I307" s="12"/>
      <c r="K307" s="12"/>
      <c r="L307" s="61"/>
      <c r="M307" s="61"/>
      <c r="N307" s="12"/>
    </row>
    <row r="308" spans="1:14">
      <c r="A308" s="8"/>
      <c r="B308" s="8"/>
      <c r="D308" s="18"/>
      <c r="E308" s="18"/>
      <c r="F308" s="59"/>
      <c r="H308" s="11"/>
      <c r="I308" s="12"/>
      <c r="K308" s="12"/>
      <c r="L308" s="61"/>
      <c r="M308" s="61"/>
      <c r="N308" s="12"/>
    </row>
    <row r="309" spans="1:14">
      <c r="A309" s="8"/>
      <c r="B309" s="8"/>
      <c r="D309" s="18"/>
      <c r="E309" s="18"/>
      <c r="F309" s="59"/>
      <c r="H309" s="11"/>
      <c r="I309" s="12"/>
      <c r="K309" s="12"/>
      <c r="L309" s="61"/>
      <c r="M309" s="61"/>
      <c r="N309" s="12"/>
    </row>
    <row r="310" spans="1:14">
      <c r="A310" s="8"/>
      <c r="B310" s="8"/>
      <c r="D310" s="18"/>
      <c r="E310" s="18"/>
      <c r="F310" s="59"/>
      <c r="H310" s="11"/>
      <c r="I310" s="12"/>
      <c r="K310" s="12"/>
      <c r="L310" s="61"/>
      <c r="M310" s="61"/>
      <c r="N310" s="12"/>
    </row>
    <row r="311" spans="1:14">
      <c r="A311" s="8"/>
      <c r="B311" s="8"/>
      <c r="D311" s="18"/>
      <c r="E311" s="18"/>
      <c r="F311" s="59"/>
      <c r="H311" s="11"/>
      <c r="I311" s="12"/>
      <c r="K311" s="12"/>
      <c r="L311" s="61"/>
      <c r="M311" s="61"/>
      <c r="N311" s="12"/>
    </row>
    <row r="312" spans="1:14">
      <c r="A312" s="8"/>
      <c r="B312" s="8"/>
      <c r="D312" s="18"/>
      <c r="E312" s="18"/>
      <c r="F312" s="59"/>
      <c r="H312" s="11"/>
      <c r="I312" s="12"/>
      <c r="K312" s="12"/>
      <c r="L312" s="61"/>
      <c r="M312" s="61"/>
      <c r="N312" s="12"/>
    </row>
    <row r="313" spans="1:14">
      <c r="A313" s="8"/>
      <c r="B313" s="8"/>
      <c r="D313" s="18"/>
      <c r="E313" s="18"/>
      <c r="F313" s="59"/>
      <c r="H313" s="11"/>
      <c r="I313" s="12"/>
      <c r="K313" s="12"/>
      <c r="L313" s="61"/>
      <c r="M313" s="61"/>
      <c r="N313" s="12"/>
    </row>
    <row r="314" spans="1:14">
      <c r="A314" s="8"/>
      <c r="B314" s="8"/>
      <c r="D314" s="18"/>
      <c r="E314" s="18"/>
      <c r="F314" s="59"/>
      <c r="H314" s="11"/>
      <c r="I314" s="12"/>
      <c r="K314" s="12"/>
      <c r="L314" s="61"/>
      <c r="M314" s="61"/>
      <c r="N314" s="12"/>
    </row>
    <row r="315" spans="1:14">
      <c r="A315" s="8"/>
      <c r="B315" s="8"/>
      <c r="D315" s="18"/>
      <c r="E315" s="18"/>
      <c r="F315" s="59"/>
      <c r="H315" s="11"/>
      <c r="I315" s="12"/>
      <c r="K315" s="12"/>
      <c r="L315" s="61"/>
      <c r="M315" s="61"/>
      <c r="N315" s="12"/>
    </row>
    <row r="316" spans="1:14">
      <c r="A316" s="8"/>
      <c r="B316" s="8"/>
      <c r="D316" s="18"/>
      <c r="E316" s="18"/>
      <c r="F316" s="59"/>
      <c r="H316" s="11"/>
      <c r="I316" s="12"/>
      <c r="K316" s="12"/>
      <c r="L316" s="61"/>
      <c r="M316" s="61"/>
      <c r="N316" s="12"/>
    </row>
    <row r="317" spans="1:14">
      <c r="A317" s="8"/>
      <c r="B317" s="8"/>
      <c r="D317" s="18"/>
      <c r="E317" s="18"/>
      <c r="F317" s="59"/>
      <c r="H317" s="11"/>
      <c r="I317" s="12"/>
      <c r="K317" s="12"/>
      <c r="L317" s="61"/>
      <c r="M317" s="61"/>
      <c r="N317" s="12"/>
    </row>
    <row r="318" spans="1:14">
      <c r="A318" s="8"/>
      <c r="B318" s="8"/>
      <c r="D318" s="18"/>
      <c r="E318" s="18"/>
      <c r="F318" s="59"/>
      <c r="H318" s="11"/>
      <c r="I318" s="12"/>
      <c r="K318" s="12"/>
      <c r="L318" s="61"/>
      <c r="M318" s="61"/>
      <c r="N318" s="12"/>
    </row>
    <row r="319" spans="1:14">
      <c r="A319" s="8"/>
      <c r="B319" s="8"/>
      <c r="D319" s="18"/>
      <c r="E319" s="18"/>
      <c r="F319" s="59"/>
      <c r="H319" s="11"/>
      <c r="I319" s="12"/>
      <c r="K319" s="12"/>
      <c r="L319" s="61"/>
      <c r="M319" s="61"/>
      <c r="N319" s="12"/>
    </row>
    <row r="320" spans="1:14">
      <c r="A320" s="8"/>
      <c r="B320" s="8"/>
      <c r="D320" s="18"/>
      <c r="E320" s="18"/>
      <c r="F320" s="59"/>
      <c r="H320" s="11"/>
      <c r="I320" s="12"/>
      <c r="K320" s="12"/>
      <c r="L320" s="61"/>
      <c r="M320" s="61"/>
      <c r="N320" s="12"/>
    </row>
    <row r="321" spans="1:14">
      <c r="A321" s="8"/>
      <c r="B321" s="8"/>
      <c r="D321" s="18"/>
      <c r="E321" s="18"/>
      <c r="F321" s="59"/>
      <c r="H321" s="11"/>
      <c r="I321" s="12"/>
      <c r="K321" s="12"/>
      <c r="L321" s="61"/>
      <c r="M321" s="61"/>
      <c r="N321" s="12"/>
    </row>
    <row r="322" spans="1:14">
      <c r="A322" s="8"/>
      <c r="B322" s="8"/>
      <c r="D322" s="18"/>
      <c r="E322" s="18"/>
      <c r="F322" s="59"/>
      <c r="H322" s="11"/>
      <c r="I322" s="12"/>
      <c r="K322" s="12"/>
      <c r="L322" s="61"/>
      <c r="M322" s="61"/>
      <c r="N322" s="12"/>
    </row>
    <row r="323" spans="1:14">
      <c r="A323" s="8"/>
      <c r="B323" s="8"/>
      <c r="D323" s="18"/>
      <c r="E323" s="18"/>
      <c r="F323" s="59"/>
      <c r="H323" s="11"/>
      <c r="I323" s="12"/>
      <c r="K323" s="12"/>
      <c r="L323" s="61"/>
      <c r="M323" s="61"/>
      <c r="N323" s="12"/>
    </row>
    <row r="324" spans="1:14">
      <c r="A324" s="8"/>
      <c r="B324" s="8"/>
      <c r="D324" s="18"/>
      <c r="E324" s="18"/>
      <c r="F324" s="59"/>
      <c r="H324" s="11"/>
      <c r="I324" s="12"/>
      <c r="K324" s="12"/>
      <c r="L324" s="61"/>
      <c r="M324" s="61"/>
      <c r="N324" s="12"/>
    </row>
    <row r="325" spans="1:14">
      <c r="A325" s="8"/>
      <c r="B325" s="8"/>
      <c r="D325" s="18"/>
      <c r="E325" s="18"/>
      <c r="F325" s="59"/>
      <c r="H325" s="11"/>
      <c r="I325" s="12"/>
      <c r="K325" s="12"/>
      <c r="L325" s="61"/>
      <c r="M325" s="61"/>
      <c r="N325" s="12"/>
    </row>
    <row r="326" spans="1:14">
      <c r="A326" s="8"/>
      <c r="B326" s="8"/>
      <c r="D326" s="18"/>
      <c r="E326" s="18"/>
      <c r="F326" s="59"/>
      <c r="H326" s="11"/>
      <c r="I326" s="12"/>
      <c r="K326" s="12"/>
      <c r="L326" s="61"/>
      <c r="M326" s="61"/>
      <c r="N326" s="12"/>
    </row>
    <row r="327" spans="1:14">
      <c r="A327" s="8"/>
      <c r="B327" s="8"/>
      <c r="D327" s="18"/>
      <c r="E327" s="18"/>
      <c r="F327" s="59"/>
      <c r="H327" s="11"/>
      <c r="I327" s="12"/>
      <c r="K327" s="12"/>
      <c r="L327" s="61"/>
      <c r="M327" s="61"/>
      <c r="N327" s="12"/>
    </row>
    <row r="328" spans="1:14">
      <c r="A328" s="8"/>
      <c r="B328" s="8"/>
      <c r="D328" s="18"/>
      <c r="E328" s="18"/>
      <c r="F328" s="59"/>
      <c r="H328" s="11"/>
      <c r="I328" s="12"/>
      <c r="K328" s="12"/>
      <c r="L328" s="61"/>
      <c r="M328" s="61"/>
      <c r="N328" s="12"/>
    </row>
    <row r="329" spans="1:14">
      <c r="A329" s="8"/>
      <c r="B329" s="8"/>
      <c r="D329" s="18"/>
      <c r="E329" s="18"/>
      <c r="F329" s="59"/>
      <c r="H329" s="11"/>
      <c r="I329" s="12"/>
      <c r="K329" s="12"/>
      <c r="L329" s="61"/>
      <c r="M329" s="61"/>
      <c r="N329" s="12"/>
    </row>
    <row r="330" spans="1:14">
      <c r="A330" s="8"/>
      <c r="B330" s="8"/>
      <c r="D330" s="18"/>
      <c r="E330" s="18"/>
      <c r="F330" s="59"/>
      <c r="H330" s="11"/>
      <c r="I330" s="12"/>
      <c r="K330" s="12"/>
      <c r="L330" s="61"/>
      <c r="M330" s="61"/>
      <c r="N330" s="12"/>
    </row>
    <row r="331" spans="1:14">
      <c r="A331" s="8"/>
      <c r="B331" s="8"/>
      <c r="D331" s="18"/>
      <c r="E331" s="18"/>
      <c r="F331" s="59"/>
      <c r="H331" s="11"/>
      <c r="I331" s="12"/>
      <c r="K331" s="12"/>
      <c r="L331" s="61"/>
      <c r="M331" s="61"/>
      <c r="N331" s="12"/>
    </row>
    <row r="332" spans="1:14">
      <c r="A332" s="8"/>
      <c r="B332" s="8"/>
      <c r="D332" s="18"/>
      <c r="E332" s="18"/>
      <c r="F332" s="59"/>
      <c r="H332" s="11"/>
      <c r="I332" s="12"/>
      <c r="K332" s="12"/>
      <c r="L332" s="61"/>
      <c r="M332" s="61"/>
      <c r="N332" s="12"/>
    </row>
    <row r="333" spans="1:14">
      <c r="A333" s="8"/>
      <c r="B333" s="8"/>
      <c r="D333" s="18"/>
      <c r="E333" s="18"/>
      <c r="F333" s="59"/>
      <c r="H333" s="11"/>
      <c r="I333" s="12"/>
      <c r="K333" s="12"/>
      <c r="L333" s="61"/>
      <c r="M333" s="61"/>
      <c r="N333" s="12"/>
    </row>
    <row r="334" spans="1:14">
      <c r="A334" s="8"/>
      <c r="B334" s="8"/>
      <c r="D334" s="18"/>
      <c r="E334" s="18"/>
      <c r="F334" s="59"/>
      <c r="H334" s="11"/>
      <c r="I334" s="12"/>
      <c r="K334" s="12"/>
      <c r="L334" s="61"/>
      <c r="M334" s="61"/>
      <c r="N334" s="12"/>
    </row>
    <row r="335" spans="1:14">
      <c r="A335" s="8"/>
      <c r="B335" s="8"/>
      <c r="D335" s="18"/>
      <c r="E335" s="18"/>
      <c r="F335" s="59"/>
      <c r="H335" s="11"/>
      <c r="I335" s="12"/>
      <c r="K335" s="12"/>
      <c r="L335" s="61"/>
      <c r="M335" s="61"/>
      <c r="N335" s="12"/>
    </row>
    <row r="336" spans="1:14">
      <c r="A336" s="8"/>
      <c r="B336" s="8"/>
      <c r="D336" s="18"/>
      <c r="E336" s="18"/>
      <c r="F336" s="59"/>
      <c r="H336" s="11"/>
      <c r="I336" s="12"/>
      <c r="K336" s="12"/>
      <c r="L336" s="61"/>
      <c r="M336" s="61"/>
      <c r="N336" s="12"/>
    </row>
    <row r="337" spans="1:14">
      <c r="A337" s="8"/>
      <c r="B337" s="8"/>
      <c r="D337" s="18"/>
      <c r="E337" s="18"/>
      <c r="F337" s="59"/>
      <c r="H337" s="11"/>
      <c r="I337" s="12"/>
      <c r="K337" s="12"/>
      <c r="L337" s="61"/>
      <c r="M337" s="61"/>
      <c r="N337" s="12"/>
    </row>
    <row r="338" spans="1:14">
      <c r="A338" s="8"/>
      <c r="B338" s="8"/>
      <c r="D338" s="18"/>
      <c r="E338" s="18"/>
      <c r="F338" s="59"/>
      <c r="H338" s="11"/>
      <c r="I338" s="12"/>
      <c r="K338" s="12"/>
      <c r="L338" s="61"/>
      <c r="M338" s="61"/>
      <c r="N338" s="12"/>
    </row>
    <row r="339" spans="1:14">
      <c r="A339" s="8"/>
      <c r="B339" s="8"/>
      <c r="D339" s="18"/>
      <c r="E339" s="18"/>
      <c r="F339" s="59"/>
      <c r="H339" s="11"/>
      <c r="I339" s="12"/>
      <c r="K339" s="12"/>
      <c r="L339" s="61"/>
      <c r="M339" s="61"/>
      <c r="N339" s="12"/>
    </row>
    <row r="340" spans="1:14">
      <c r="A340" s="8"/>
      <c r="B340" s="8"/>
      <c r="D340" s="18"/>
      <c r="E340" s="18"/>
      <c r="F340" s="59"/>
      <c r="H340" s="11"/>
      <c r="I340" s="12"/>
      <c r="K340" s="12"/>
      <c r="L340" s="61"/>
      <c r="M340" s="61"/>
      <c r="N340" s="12"/>
    </row>
    <row r="341" spans="1:14">
      <c r="A341" s="8"/>
      <c r="B341" s="8"/>
      <c r="D341" s="18"/>
      <c r="E341" s="18"/>
      <c r="F341" s="59"/>
      <c r="H341" s="11"/>
      <c r="I341" s="12"/>
      <c r="K341" s="12"/>
      <c r="L341" s="61"/>
      <c r="M341" s="61"/>
      <c r="N341" s="12"/>
    </row>
    <row r="342" spans="1:14">
      <c r="A342" s="8"/>
      <c r="B342" s="8"/>
      <c r="D342" s="18"/>
      <c r="E342" s="18"/>
      <c r="F342" s="59"/>
      <c r="H342" s="11"/>
      <c r="I342" s="12"/>
      <c r="K342" s="12"/>
      <c r="L342" s="61"/>
      <c r="M342" s="61"/>
      <c r="N342" s="12"/>
    </row>
    <row r="343" spans="1:14">
      <c r="A343" s="8"/>
      <c r="B343" s="8"/>
      <c r="D343" s="18"/>
      <c r="E343" s="18"/>
      <c r="F343" s="59"/>
      <c r="H343" s="11"/>
      <c r="I343" s="12"/>
      <c r="K343" s="12"/>
      <c r="L343" s="61"/>
      <c r="M343" s="61"/>
      <c r="N343" s="12"/>
    </row>
    <row r="344" spans="1:14">
      <c r="A344" s="8"/>
      <c r="B344" s="8"/>
      <c r="D344" s="18"/>
      <c r="E344" s="18"/>
      <c r="F344" s="59"/>
      <c r="H344" s="11"/>
      <c r="I344" s="12"/>
      <c r="K344" s="12"/>
      <c r="L344" s="61"/>
      <c r="M344" s="61"/>
      <c r="N344" s="12"/>
    </row>
    <row r="345" spans="1:14">
      <c r="A345" s="8"/>
      <c r="B345" s="8"/>
      <c r="D345" s="18"/>
      <c r="E345" s="18"/>
      <c r="F345" s="59"/>
      <c r="H345" s="11"/>
      <c r="I345" s="12"/>
      <c r="K345" s="12"/>
      <c r="L345" s="61"/>
      <c r="M345" s="61"/>
      <c r="N345" s="12"/>
    </row>
    <row r="346" spans="1:14">
      <c r="A346" s="8"/>
      <c r="B346" s="8"/>
      <c r="D346" s="18"/>
      <c r="E346" s="18"/>
      <c r="F346" s="59"/>
      <c r="H346" s="11"/>
      <c r="I346" s="12"/>
      <c r="K346" s="12"/>
      <c r="L346" s="61"/>
      <c r="M346" s="61"/>
      <c r="N346" s="12"/>
    </row>
    <row r="347" spans="1:14">
      <c r="A347" s="8"/>
      <c r="B347" s="8"/>
      <c r="D347" s="18"/>
      <c r="E347" s="18"/>
      <c r="F347" s="59"/>
      <c r="H347" s="11"/>
      <c r="I347" s="12"/>
      <c r="K347" s="12"/>
      <c r="L347" s="61"/>
      <c r="M347" s="61"/>
      <c r="N347" s="12"/>
    </row>
    <row r="348" spans="1:14">
      <c r="A348" s="8"/>
      <c r="B348" s="8"/>
      <c r="D348" s="18"/>
      <c r="E348" s="18"/>
      <c r="F348" s="59"/>
      <c r="H348" s="11"/>
      <c r="I348" s="12"/>
      <c r="K348" s="12"/>
      <c r="L348" s="61"/>
      <c r="M348" s="61"/>
      <c r="N348" s="12"/>
    </row>
    <row r="349" spans="1:14">
      <c r="A349" s="8"/>
      <c r="B349" s="8"/>
      <c r="D349" s="18"/>
      <c r="E349" s="18"/>
      <c r="F349" s="59"/>
      <c r="H349" s="11"/>
      <c r="I349" s="12"/>
      <c r="K349" s="12"/>
      <c r="L349" s="61"/>
      <c r="M349" s="61"/>
      <c r="N349" s="12"/>
    </row>
    <row r="350" spans="1:14">
      <c r="A350" s="8"/>
      <c r="B350" s="8"/>
      <c r="D350" s="18"/>
      <c r="E350" s="18"/>
      <c r="F350" s="59"/>
      <c r="H350" s="11"/>
      <c r="I350" s="12"/>
      <c r="K350" s="12"/>
      <c r="L350" s="61"/>
      <c r="M350" s="61"/>
      <c r="N350" s="12"/>
    </row>
    <row r="351" spans="1:14">
      <c r="A351" s="8"/>
      <c r="B351" s="8"/>
      <c r="D351" s="18"/>
      <c r="E351" s="18"/>
      <c r="F351" s="59"/>
      <c r="H351" s="11"/>
      <c r="I351" s="12"/>
      <c r="K351" s="12"/>
      <c r="L351" s="61"/>
      <c r="M351" s="61"/>
      <c r="N351" s="12"/>
    </row>
    <row r="352" spans="1:14">
      <c r="A352" s="8"/>
      <c r="B352" s="8"/>
      <c r="D352" s="18"/>
      <c r="E352" s="18"/>
      <c r="F352" s="59"/>
      <c r="H352" s="11"/>
      <c r="I352" s="12"/>
      <c r="K352" s="12"/>
      <c r="L352" s="61"/>
      <c r="M352" s="61"/>
      <c r="N352" s="12"/>
    </row>
    <row r="353" spans="1:14">
      <c r="A353" s="8"/>
      <c r="B353" s="8"/>
      <c r="D353" s="18"/>
      <c r="E353" s="18"/>
      <c r="F353" s="59"/>
      <c r="H353" s="11"/>
      <c r="I353" s="12"/>
      <c r="K353" s="12"/>
      <c r="L353" s="61"/>
      <c r="M353" s="61"/>
      <c r="N353" s="12"/>
    </row>
    <row r="354" spans="1:14">
      <c r="A354" s="8"/>
      <c r="B354" s="8"/>
      <c r="D354" s="18"/>
      <c r="E354" s="18"/>
      <c r="F354" s="59"/>
      <c r="H354" s="11"/>
      <c r="I354" s="12"/>
      <c r="K354" s="12"/>
      <c r="L354" s="61"/>
      <c r="M354" s="61"/>
      <c r="N354" s="12"/>
    </row>
    <row r="355" spans="1:14">
      <c r="A355" s="8"/>
      <c r="B355" s="8"/>
      <c r="D355" s="18"/>
      <c r="E355" s="18"/>
      <c r="F355" s="59"/>
      <c r="H355" s="11"/>
      <c r="I355" s="12"/>
      <c r="K355" s="12"/>
      <c r="L355" s="61"/>
      <c r="M355" s="61"/>
      <c r="N355" s="12"/>
    </row>
    <row r="356" spans="1:14">
      <c r="A356" s="8"/>
      <c r="B356" s="8"/>
      <c r="D356" s="18"/>
      <c r="E356" s="18"/>
      <c r="F356" s="59"/>
      <c r="H356" s="11"/>
      <c r="I356" s="12"/>
      <c r="K356" s="12"/>
      <c r="L356" s="61"/>
      <c r="M356" s="61"/>
      <c r="N356" s="12"/>
    </row>
    <row r="357" spans="1:14">
      <c r="A357" s="8"/>
      <c r="B357" s="8"/>
      <c r="D357" s="18"/>
      <c r="E357" s="18"/>
      <c r="F357" s="59"/>
      <c r="H357" s="11"/>
      <c r="I357" s="12"/>
      <c r="K357" s="12"/>
      <c r="L357" s="61"/>
      <c r="M357" s="61"/>
      <c r="N357" s="12"/>
    </row>
    <row r="358" spans="1:14">
      <c r="A358" s="8"/>
      <c r="B358" s="8"/>
      <c r="D358" s="18"/>
      <c r="E358" s="18"/>
      <c r="F358" s="59"/>
      <c r="H358" s="11"/>
      <c r="I358" s="12"/>
      <c r="K358" s="12"/>
      <c r="L358" s="61"/>
      <c r="M358" s="61"/>
      <c r="N358" s="12"/>
    </row>
    <row r="359" spans="1:14">
      <c r="A359" s="8"/>
      <c r="B359" s="8"/>
      <c r="D359" s="18"/>
      <c r="E359" s="18"/>
      <c r="F359" s="59"/>
      <c r="H359" s="11"/>
      <c r="I359" s="12"/>
      <c r="K359" s="12"/>
      <c r="L359" s="61"/>
      <c r="M359" s="61"/>
      <c r="N359" s="12"/>
    </row>
    <row r="360" spans="1:14">
      <c r="A360" s="8"/>
      <c r="B360" s="8"/>
      <c r="D360" s="18"/>
      <c r="E360" s="18"/>
      <c r="F360" s="59"/>
      <c r="H360" s="11"/>
      <c r="I360" s="12"/>
      <c r="K360" s="12"/>
      <c r="L360" s="61"/>
      <c r="M360" s="61"/>
      <c r="N360" s="12"/>
    </row>
    <row r="361" spans="1:14">
      <c r="A361" s="8"/>
      <c r="B361" s="8"/>
      <c r="D361" s="18"/>
      <c r="E361" s="18"/>
      <c r="F361" s="59"/>
      <c r="H361" s="11"/>
      <c r="I361" s="12"/>
      <c r="K361" s="12"/>
      <c r="L361" s="61"/>
      <c r="M361" s="61"/>
      <c r="N361" s="12"/>
    </row>
    <row r="362" spans="1:14">
      <c r="A362" s="8"/>
      <c r="B362" s="8"/>
      <c r="D362" s="18"/>
      <c r="E362" s="18"/>
      <c r="F362" s="59"/>
      <c r="H362" s="11"/>
      <c r="I362" s="12"/>
      <c r="K362" s="12"/>
      <c r="L362" s="61"/>
      <c r="M362" s="61"/>
      <c r="N362" s="12"/>
    </row>
    <row r="363" spans="1:14">
      <c r="A363" s="8"/>
      <c r="B363" s="8"/>
      <c r="D363" s="18"/>
      <c r="E363" s="18"/>
      <c r="F363" s="59"/>
      <c r="H363" s="11"/>
      <c r="I363" s="12"/>
      <c r="K363" s="12"/>
      <c r="L363" s="61"/>
      <c r="M363" s="61"/>
      <c r="N363" s="12"/>
    </row>
    <row r="364" spans="1:14">
      <c r="A364" s="8"/>
      <c r="B364" s="8"/>
      <c r="D364" s="18"/>
      <c r="E364" s="18"/>
      <c r="F364" s="59"/>
      <c r="H364" s="11"/>
      <c r="I364" s="12"/>
      <c r="K364" s="12"/>
      <c r="L364" s="61"/>
      <c r="M364" s="61"/>
      <c r="N364" s="12"/>
    </row>
    <row r="365" spans="1:14">
      <c r="A365" s="8"/>
      <c r="B365" s="8"/>
      <c r="D365" s="18"/>
      <c r="E365" s="18"/>
      <c r="F365" s="59"/>
      <c r="H365" s="11"/>
      <c r="I365" s="12"/>
      <c r="K365" s="12"/>
      <c r="L365" s="61"/>
      <c r="M365" s="61"/>
      <c r="N365" s="12"/>
    </row>
    <row r="366" spans="1:14">
      <c r="A366" s="8"/>
      <c r="B366" s="8"/>
      <c r="D366" s="18"/>
      <c r="E366" s="18"/>
      <c r="F366" s="59"/>
      <c r="H366" s="11"/>
      <c r="I366" s="12"/>
      <c r="K366" s="12"/>
      <c r="L366" s="61"/>
      <c r="M366" s="61"/>
      <c r="N366" s="12"/>
    </row>
    <row r="367" spans="1:14">
      <c r="A367" s="8"/>
      <c r="B367" s="8"/>
      <c r="D367" s="18"/>
      <c r="E367" s="18"/>
      <c r="F367" s="59"/>
      <c r="H367" s="11"/>
      <c r="I367" s="12"/>
      <c r="K367" s="12"/>
      <c r="L367" s="61"/>
      <c r="M367" s="61"/>
      <c r="N367" s="12"/>
    </row>
    <row r="368" spans="1:14">
      <c r="A368" s="8"/>
      <c r="B368" s="8"/>
      <c r="D368" s="18"/>
      <c r="E368" s="18"/>
      <c r="F368" s="59"/>
      <c r="H368" s="11"/>
      <c r="I368" s="12"/>
      <c r="K368" s="12"/>
      <c r="L368" s="61"/>
      <c r="M368" s="61"/>
      <c r="N368" s="12"/>
    </row>
    <row r="369" spans="1:14">
      <c r="A369" s="8"/>
      <c r="B369" s="8"/>
      <c r="D369" s="18"/>
      <c r="E369" s="18"/>
      <c r="F369" s="59"/>
      <c r="H369" s="11"/>
      <c r="I369" s="12"/>
      <c r="K369" s="12"/>
      <c r="L369" s="61"/>
      <c r="M369" s="61"/>
      <c r="N369" s="12"/>
    </row>
    <row r="370" spans="1:14">
      <c r="A370" s="8"/>
      <c r="B370" s="8"/>
      <c r="D370" s="18"/>
      <c r="E370" s="18"/>
      <c r="F370" s="59"/>
      <c r="H370" s="11"/>
      <c r="I370" s="12"/>
      <c r="K370" s="12"/>
      <c r="L370" s="61"/>
      <c r="M370" s="61"/>
      <c r="N370" s="12"/>
    </row>
    <row r="371" spans="1:14">
      <c r="A371" s="8"/>
      <c r="B371" s="8"/>
      <c r="D371" s="18"/>
      <c r="E371" s="18"/>
      <c r="F371" s="59"/>
      <c r="H371" s="11"/>
      <c r="I371" s="12"/>
      <c r="K371" s="12"/>
      <c r="L371" s="61"/>
      <c r="M371" s="61"/>
      <c r="N371" s="12"/>
    </row>
    <row r="372" spans="1:14">
      <c r="A372" s="8"/>
      <c r="B372" s="8"/>
      <c r="D372" s="18"/>
      <c r="E372" s="18"/>
      <c r="F372" s="59"/>
      <c r="H372" s="11"/>
      <c r="I372" s="12"/>
      <c r="K372" s="12"/>
      <c r="L372" s="61"/>
      <c r="M372" s="61"/>
      <c r="N372" s="12"/>
    </row>
    <row r="373" spans="1:14">
      <c r="A373" s="8"/>
      <c r="B373" s="8"/>
      <c r="D373" s="18"/>
      <c r="E373" s="18"/>
      <c r="F373" s="59"/>
      <c r="H373" s="11"/>
      <c r="I373" s="12"/>
      <c r="K373" s="12"/>
      <c r="L373" s="61"/>
      <c r="M373" s="61"/>
      <c r="N373" s="12"/>
    </row>
    <row r="374" spans="1:14">
      <c r="A374" s="8"/>
      <c r="B374" s="8"/>
      <c r="D374" s="18"/>
      <c r="E374" s="18"/>
      <c r="F374" s="59"/>
      <c r="H374" s="11"/>
      <c r="I374" s="12"/>
      <c r="K374" s="12"/>
      <c r="L374" s="61"/>
      <c r="M374" s="61"/>
      <c r="N374" s="12"/>
    </row>
    <row r="375" spans="1:14">
      <c r="A375" s="8"/>
      <c r="B375" s="8"/>
      <c r="D375" s="18"/>
      <c r="E375" s="18"/>
      <c r="F375" s="59"/>
      <c r="H375" s="11"/>
      <c r="I375" s="12"/>
      <c r="K375" s="12"/>
      <c r="L375" s="61"/>
      <c r="M375" s="61"/>
      <c r="N375" s="12"/>
    </row>
    <row r="376" spans="1:14">
      <c r="A376" s="8"/>
      <c r="B376" s="8"/>
      <c r="D376" s="18"/>
      <c r="E376" s="18"/>
      <c r="F376" s="59"/>
      <c r="H376" s="11"/>
      <c r="I376" s="12"/>
      <c r="K376" s="12"/>
      <c r="L376" s="61"/>
      <c r="M376" s="61"/>
      <c r="N376" s="12"/>
    </row>
    <row r="377" spans="1:14">
      <c r="A377" s="8"/>
      <c r="B377" s="8"/>
      <c r="D377" s="18"/>
      <c r="E377" s="18"/>
      <c r="F377" s="59"/>
      <c r="H377" s="11"/>
      <c r="I377" s="12"/>
      <c r="K377" s="12"/>
      <c r="L377" s="61"/>
      <c r="M377" s="61"/>
      <c r="N377" s="12"/>
    </row>
    <row r="378" spans="1:14">
      <c r="A378" s="8"/>
      <c r="B378" s="8"/>
      <c r="D378" s="18"/>
      <c r="E378" s="18"/>
      <c r="F378" s="59"/>
      <c r="H378" s="11"/>
      <c r="I378" s="12"/>
      <c r="K378" s="12"/>
      <c r="L378" s="61"/>
      <c r="M378" s="61"/>
      <c r="N378" s="12"/>
    </row>
    <row r="379" spans="1:14">
      <c r="A379" s="8"/>
      <c r="B379" s="8"/>
      <c r="D379" s="18"/>
      <c r="E379" s="18"/>
      <c r="F379" s="59"/>
      <c r="H379" s="11"/>
      <c r="I379" s="12"/>
      <c r="K379" s="12"/>
      <c r="L379" s="61"/>
      <c r="M379" s="61"/>
      <c r="N379" s="12"/>
    </row>
    <row r="380" spans="1:14">
      <c r="A380" s="8"/>
      <c r="B380" s="8"/>
      <c r="D380" s="18"/>
      <c r="E380" s="18"/>
      <c r="F380" s="59"/>
      <c r="H380" s="11"/>
      <c r="I380" s="12"/>
      <c r="K380" s="12"/>
      <c r="L380" s="61"/>
      <c r="M380" s="61"/>
      <c r="N380" s="12"/>
    </row>
    <row r="381" spans="1:14">
      <c r="A381" s="8"/>
      <c r="B381" s="8"/>
      <c r="D381" s="18"/>
      <c r="E381" s="18"/>
      <c r="F381" s="59"/>
      <c r="H381" s="11"/>
      <c r="I381" s="12"/>
      <c r="K381" s="12"/>
      <c r="L381" s="61"/>
      <c r="M381" s="61"/>
      <c r="N381" s="12"/>
    </row>
    <row r="382" spans="1:14">
      <c r="A382" s="8"/>
      <c r="B382" s="8"/>
      <c r="D382" s="18"/>
      <c r="E382" s="18"/>
      <c r="F382" s="59"/>
      <c r="H382" s="11"/>
      <c r="I382" s="12"/>
      <c r="K382" s="12"/>
      <c r="L382" s="61"/>
      <c r="M382" s="61"/>
      <c r="N382" s="12"/>
    </row>
    <row r="383" spans="1:14">
      <c r="A383" s="8"/>
      <c r="B383" s="8"/>
      <c r="D383" s="18"/>
      <c r="E383" s="18"/>
      <c r="F383" s="59"/>
      <c r="H383" s="11"/>
      <c r="I383" s="12"/>
      <c r="K383" s="12"/>
      <c r="L383" s="61"/>
      <c r="M383" s="61"/>
      <c r="N383" s="12"/>
    </row>
    <row r="384" spans="1:14">
      <c r="A384" s="8"/>
      <c r="B384" s="8"/>
      <c r="D384" s="18"/>
      <c r="E384" s="18"/>
      <c r="F384" s="59"/>
      <c r="H384" s="11"/>
      <c r="I384" s="12"/>
      <c r="K384" s="12"/>
      <c r="L384" s="61"/>
      <c r="M384" s="61"/>
      <c r="N384" s="12"/>
    </row>
    <row r="385" spans="1:14">
      <c r="A385" s="8"/>
      <c r="B385" s="8"/>
      <c r="D385" s="18"/>
      <c r="E385" s="18"/>
      <c r="F385" s="59"/>
      <c r="H385" s="11"/>
      <c r="I385" s="12"/>
      <c r="K385" s="12"/>
      <c r="L385" s="61"/>
      <c r="M385" s="61"/>
      <c r="N385" s="12"/>
    </row>
    <row r="386" spans="1:14">
      <c r="A386" s="8"/>
      <c r="B386" s="8"/>
      <c r="D386" s="18"/>
      <c r="E386" s="18"/>
      <c r="F386" s="59"/>
      <c r="H386" s="11"/>
      <c r="I386" s="12"/>
      <c r="K386" s="12"/>
      <c r="L386" s="61"/>
      <c r="M386" s="61"/>
      <c r="N386" s="12"/>
    </row>
    <row r="387" spans="1:14">
      <c r="A387" s="8"/>
      <c r="B387" s="8"/>
      <c r="D387" s="18"/>
      <c r="E387" s="18"/>
      <c r="F387" s="59"/>
      <c r="H387" s="11"/>
      <c r="I387" s="12"/>
      <c r="K387" s="12"/>
      <c r="L387" s="61"/>
      <c r="M387" s="61"/>
      <c r="N387" s="12"/>
    </row>
    <row r="388" spans="1:14">
      <c r="A388" s="8"/>
      <c r="B388" s="8"/>
      <c r="D388" s="18"/>
      <c r="E388" s="18"/>
      <c r="F388" s="59"/>
      <c r="H388" s="11"/>
      <c r="I388" s="12"/>
      <c r="K388" s="12"/>
      <c r="L388" s="61"/>
      <c r="M388" s="61"/>
      <c r="N388" s="12"/>
    </row>
    <row r="389" spans="1:14">
      <c r="A389" s="8"/>
      <c r="B389" s="8"/>
      <c r="D389" s="18"/>
      <c r="E389" s="18"/>
      <c r="F389" s="59"/>
      <c r="H389" s="11"/>
      <c r="I389" s="12"/>
      <c r="K389" s="12"/>
      <c r="L389" s="61"/>
      <c r="M389" s="61"/>
      <c r="N389" s="12"/>
    </row>
    <row r="390" spans="1:14">
      <c r="A390" s="8"/>
      <c r="B390" s="8"/>
      <c r="D390" s="18"/>
      <c r="E390" s="18"/>
      <c r="F390" s="59"/>
      <c r="H390" s="11"/>
      <c r="I390" s="12"/>
      <c r="K390" s="12"/>
      <c r="L390" s="61"/>
      <c r="M390" s="61"/>
      <c r="N390" s="12"/>
    </row>
    <row r="391" spans="1:14">
      <c r="A391" s="8"/>
      <c r="B391" s="8"/>
      <c r="D391" s="18"/>
      <c r="E391" s="18"/>
      <c r="F391" s="59"/>
      <c r="H391" s="11"/>
      <c r="I391" s="12"/>
      <c r="K391" s="12"/>
      <c r="L391" s="61"/>
      <c r="M391" s="61"/>
      <c r="N391" s="12"/>
    </row>
    <row r="392" spans="1:14">
      <c r="A392" s="8"/>
      <c r="B392" s="8"/>
      <c r="D392" s="18"/>
      <c r="E392" s="18"/>
      <c r="F392" s="59"/>
      <c r="H392" s="11"/>
      <c r="I392" s="12"/>
      <c r="K392" s="12"/>
      <c r="L392" s="61"/>
      <c r="M392" s="61"/>
      <c r="N392" s="12"/>
    </row>
    <row r="393" spans="1:14">
      <c r="A393" s="8"/>
      <c r="B393" s="8"/>
      <c r="D393" s="18"/>
      <c r="E393" s="18"/>
      <c r="F393" s="59"/>
      <c r="H393" s="11"/>
      <c r="I393" s="12"/>
      <c r="K393" s="12"/>
      <c r="L393" s="61"/>
      <c r="M393" s="61"/>
      <c r="N393" s="12"/>
    </row>
    <row r="394" spans="1:14">
      <c r="A394" s="8"/>
      <c r="B394" s="8"/>
      <c r="D394" s="18"/>
      <c r="E394" s="18"/>
      <c r="F394" s="59"/>
      <c r="H394" s="11"/>
      <c r="I394" s="12"/>
      <c r="K394" s="12"/>
      <c r="L394" s="61"/>
      <c r="M394" s="61"/>
      <c r="N394" s="12"/>
    </row>
    <row r="395" spans="1:14">
      <c r="A395" s="8"/>
      <c r="B395" s="8"/>
      <c r="D395" s="18"/>
      <c r="E395" s="18"/>
      <c r="F395" s="59"/>
      <c r="H395" s="11"/>
      <c r="I395" s="12"/>
      <c r="K395" s="12"/>
      <c r="L395" s="61"/>
      <c r="M395" s="61"/>
      <c r="N395" s="12"/>
    </row>
    <row r="396" spans="1:14">
      <c r="A396" s="8"/>
      <c r="B396" s="8"/>
      <c r="D396" s="18"/>
      <c r="E396" s="18"/>
      <c r="F396" s="59"/>
      <c r="H396" s="11"/>
      <c r="I396" s="12"/>
      <c r="K396" s="12"/>
      <c r="L396" s="61"/>
      <c r="M396" s="61"/>
      <c r="N396" s="12"/>
    </row>
    <row r="397" spans="1:14">
      <c r="A397" s="8"/>
      <c r="B397" s="8"/>
      <c r="D397" s="18"/>
      <c r="E397" s="18"/>
      <c r="F397" s="59"/>
      <c r="H397" s="11"/>
      <c r="I397" s="12"/>
      <c r="K397" s="12"/>
      <c r="L397" s="61"/>
      <c r="M397" s="61"/>
      <c r="N397" s="12"/>
    </row>
    <row r="398" spans="1:14">
      <c r="A398" s="8"/>
      <c r="B398" s="8"/>
      <c r="D398" s="18"/>
      <c r="E398" s="18"/>
      <c r="F398" s="59"/>
      <c r="H398" s="11"/>
      <c r="I398" s="12"/>
      <c r="K398" s="12"/>
      <c r="L398" s="61"/>
      <c r="M398" s="61"/>
      <c r="N398" s="12"/>
    </row>
    <row r="399" spans="1:14">
      <c r="A399" s="8"/>
      <c r="B399" s="8"/>
      <c r="D399" s="18"/>
      <c r="E399" s="18"/>
      <c r="F399" s="59"/>
      <c r="H399" s="11"/>
      <c r="I399" s="12"/>
      <c r="K399" s="12"/>
      <c r="L399" s="61"/>
      <c r="M399" s="61"/>
      <c r="N399" s="12"/>
    </row>
    <row r="400" spans="1:14">
      <c r="A400" s="8"/>
      <c r="B400" s="8"/>
      <c r="D400" s="18"/>
      <c r="E400" s="18"/>
      <c r="F400" s="59"/>
      <c r="H400" s="11"/>
      <c r="I400" s="12"/>
      <c r="K400" s="12"/>
      <c r="L400" s="61"/>
      <c r="M400" s="61"/>
      <c r="N400" s="12"/>
    </row>
    <row r="401" spans="1:14">
      <c r="A401" s="8"/>
      <c r="B401" s="8"/>
      <c r="D401" s="18"/>
      <c r="E401" s="18"/>
      <c r="F401" s="59"/>
      <c r="H401" s="11"/>
      <c r="I401" s="12"/>
      <c r="K401" s="12"/>
      <c r="L401" s="61"/>
      <c r="M401" s="61"/>
      <c r="N401" s="12"/>
    </row>
  </sheetData>
  <sortState xmlns:xlrd2="http://schemas.microsoft.com/office/spreadsheetml/2017/richdata2" ref="B19:N36">
    <sortCondition ref="E19:E36"/>
  </sortState>
  <mergeCells count="6">
    <mergeCell ref="G7:H7"/>
    <mergeCell ref="K6:L6"/>
    <mergeCell ref="A1:O1"/>
    <mergeCell ref="A2:O2"/>
    <mergeCell ref="A3:O3"/>
    <mergeCell ref="A4:O4"/>
  </mergeCells>
  <phoneticPr fontId="5" type="noConversion"/>
  <printOptions horizontalCentered="1"/>
  <pageMargins left="0.25" right="0.25" top="0.75" bottom="0.75" header="0.3" footer="0.3"/>
  <pageSetup scale="52" orientation="landscape" r:id="rId1"/>
  <headerFooter alignWithMargins="0"/>
  <ignoredErrors>
    <ignoredError sqref="D59:E60 A4 H50:H51 D44:E52 B50:B51 O11:O14 A42:A65 O39:O65 A12:A14 A24:A34 A17 A15:A16 A18:A23 A35:A41 O25:O34 O17:O24 O35:O38" unlockedFormula="1"/>
    <ignoredError sqref="K14 D19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91b9ab-8853-4e23-af95-5cda4a1643f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1DCD5CB98674E9D9A7C1EE7C23EA6" ma:contentTypeVersion="13" ma:contentTypeDescription="Create a new document." ma:contentTypeScope="" ma:versionID="a520fb0a00d5e001be5101929d5e6b98">
  <xsd:schema xmlns:xsd="http://www.w3.org/2001/XMLSchema" xmlns:xs="http://www.w3.org/2001/XMLSchema" xmlns:p="http://schemas.microsoft.com/office/2006/metadata/properties" xmlns:ns2="7891b9ab-8853-4e23-af95-5cda4a1643fd" xmlns:ns3="8208050b-39dc-4b6b-9fb4-8fa759c492bf" targetNamespace="http://schemas.microsoft.com/office/2006/metadata/properties" ma:root="true" ma:fieldsID="cf0937612896c8f9470135c8d760e429" ns2:_="" ns3:_="">
    <xsd:import namespace="7891b9ab-8853-4e23-af95-5cda4a1643fd"/>
    <xsd:import namespace="8208050b-39dc-4b6b-9fb4-8fa759c49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1b9ab-8853-4e23-af95-5cda4a164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8050b-39dc-4b6b-9fb4-8fa759c492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9E5E1E-A9AA-4A1D-B8C8-2A8F46066552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8208050b-39dc-4b6b-9fb4-8fa759c492bf"/>
    <ds:schemaRef ds:uri="7891b9ab-8853-4e23-af95-5cda4a1643f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91D6F2-339B-46C1-A8BC-7B9EE70AA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91b9ab-8853-4e23-af95-5cda4a1643fd"/>
    <ds:schemaRef ds:uri="8208050b-39dc-4b6b-9fb4-8fa759c49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04812F-5966-4EC7-994A-954E4AA0E7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Detail</vt:lpstr>
      <vt:lpstr>PAGE2</vt:lpstr>
      <vt:lpstr>Detail!Print_Area</vt:lpstr>
      <vt:lpstr>Summary!Print_Area</vt:lpstr>
      <vt:lpstr>Detail!Print_Titles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Staples</dc:creator>
  <cp:keywords/>
  <dc:description/>
  <cp:lastModifiedBy>Meyer, Carrie (PacifiCorp)</cp:lastModifiedBy>
  <cp:revision/>
  <cp:lastPrinted>2024-05-25T23:37:58Z</cp:lastPrinted>
  <dcterms:created xsi:type="dcterms:W3CDTF">1997-02-11T16:29:17Z</dcterms:created>
  <dcterms:modified xsi:type="dcterms:W3CDTF">2024-05-25T23:39:42Z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0x01010064D1DCD5CB98674E9D9A7C1EE7C23EA6</vt:lpwstr>
  </property>
  <property fmtid="{D5CDD505-2E9C-101B-9397-08002B2CF9AE}" pid="3" name="MediaServiceImageTags">
    <vt:lpwstr/>
  </property>
</Properties>
</file>